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bara\Desktop\ARCHIV\EXCEL\AUDIO\"/>
    </mc:Choice>
  </mc:AlternateContent>
  <xr:revisionPtr revIDLastSave="0" documentId="8_{1B15AA6C-3C94-4FBB-920A-A3456C95E6F5}" xr6:coauthVersionLast="47" xr6:coauthVersionMax="47" xr10:uidLastSave="{00000000-0000-0000-0000-000000000000}"/>
  <workbookProtection workbookAlgorithmName="SHA-512" workbookHashValue="tVYpl/hZlFSec0m3QCpl4imSE6R7T5dVRHkakPCkIgNKtomdO0PLREmGQfgx5eJ5XbAX5CPVtfgf+VB6bWt8cQ==" workbookSaltValue="t/cmA6d+Escch68EUkRvSQ==" workbookSpinCount="100000" lockStructure="1"/>
  <bookViews>
    <workbookView xWindow="540" yWindow="456" windowWidth="22044" windowHeight="12180" activeTab="1" xr2:uid="{4844B386-561C-42C8-AE22-8E930CDE3B08}"/>
  </bookViews>
  <sheets>
    <sheet name="chamber" sheetId="3" r:id="rId1"/>
    <sheet name="calc." sheetId="1" r:id="rId2"/>
    <sheet name="diagram" sheetId="2" r:id="rId3"/>
  </sheets>
  <definedNames>
    <definedName name="_xlnm.Print_Area" localSheetId="1">'calc.'!$A$2:$P$44</definedName>
    <definedName name="_xlnm.Print_Area" localSheetId="0">chamber!$A$3:$L$33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O10" i="1"/>
  <c r="O8" i="1"/>
  <c r="B13" i="1"/>
  <c r="C13" i="1"/>
  <c r="B14" i="1"/>
  <c r="C14" i="1"/>
  <c r="G21" i="3"/>
  <c r="I21" i="3" s="1"/>
  <c r="I33" i="3"/>
  <c r="F2" i="2"/>
  <c r="K7" i="3"/>
  <c r="K9" i="3" s="1"/>
  <c r="N30" i="1" s="1"/>
  <c r="N32" i="1" s="1"/>
  <c r="C12" i="1"/>
  <c r="B15" i="1"/>
  <c r="C15" i="1"/>
  <c r="B16" i="1"/>
  <c r="B17" i="1"/>
  <c r="C16" i="1"/>
  <c r="B18" i="1"/>
  <c r="C17" i="1"/>
  <c r="B19" i="1"/>
  <c r="C18" i="1"/>
  <c r="B20" i="1"/>
  <c r="C19" i="1"/>
  <c r="C20" i="1"/>
  <c r="B21" i="1"/>
  <c r="C21" i="1"/>
  <c r="B22" i="1"/>
  <c r="C22" i="1"/>
  <c r="B23" i="1"/>
  <c r="B24" i="1"/>
  <c r="C23" i="1"/>
  <c r="B25" i="1"/>
  <c r="C24" i="1"/>
  <c r="B26" i="1"/>
  <c r="C25" i="1"/>
  <c r="B27" i="1"/>
  <c r="C26" i="1"/>
  <c r="B28" i="1"/>
  <c r="C27" i="1"/>
  <c r="C28" i="1"/>
  <c r="B29" i="1"/>
  <c r="C29" i="1"/>
  <c r="B30" i="1"/>
  <c r="C30" i="1"/>
  <c r="B31" i="1"/>
  <c r="C31" i="1"/>
  <c r="B32" i="1"/>
  <c r="B33" i="1"/>
  <c r="C32" i="1"/>
  <c r="B34" i="1"/>
  <c r="C33" i="1"/>
  <c r="B35" i="1"/>
  <c r="C34" i="1"/>
  <c r="B36" i="1"/>
  <c r="C35" i="1"/>
  <c r="B37" i="1"/>
  <c r="C36" i="1"/>
  <c r="C37" i="1"/>
  <c r="B38" i="1"/>
  <c r="C38" i="1"/>
  <c r="B39" i="1"/>
  <c r="B40" i="1"/>
  <c r="C39" i="1"/>
  <c r="B41" i="1"/>
  <c r="C40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G19" i="3" l="1"/>
  <c r="O22" i="1" s="1"/>
  <c r="N11" i="1"/>
  <c r="G22" i="3"/>
  <c r="G23" i="3" s="1"/>
  <c r="G32" i="3" l="1"/>
  <c r="I32" i="3" s="1"/>
  <c r="G33" i="3" s="1"/>
  <c r="O5" i="1"/>
  <c r="O7" i="1" s="1"/>
  <c r="F54" i="1"/>
  <c r="G54" i="1" s="1"/>
  <c r="F22" i="1"/>
  <c r="G22" i="1" s="1"/>
  <c r="F45" i="1"/>
  <c r="G45" i="1" s="1"/>
  <c r="F51" i="1"/>
  <c r="G51" i="1" s="1"/>
  <c r="F29" i="1"/>
  <c r="G29" i="1" s="1"/>
  <c r="F52" i="1"/>
  <c r="G52" i="1" s="1"/>
  <c r="F46" i="1"/>
  <c r="G46" i="1" s="1"/>
  <c r="F47" i="1"/>
  <c r="G47" i="1" s="1"/>
  <c r="F55" i="1"/>
  <c r="G55" i="1" s="1"/>
  <c r="F35" i="1"/>
  <c r="G35" i="1" s="1"/>
  <c r="F23" i="1"/>
  <c r="G23" i="1" s="1"/>
  <c r="F41" i="1"/>
  <c r="G41" i="1" s="1"/>
  <c r="F17" i="1"/>
  <c r="G17" i="1" s="1"/>
  <c r="H17" i="1" s="1"/>
  <c r="F36" i="1"/>
  <c r="G36" i="1" s="1"/>
  <c r="F57" i="1"/>
  <c r="G57" i="1" s="1"/>
  <c r="F37" i="1"/>
  <c r="G37" i="1" s="1"/>
  <c r="F32" i="1"/>
  <c r="G32" i="1" s="1"/>
  <c r="F38" i="1"/>
  <c r="G38" i="1" s="1"/>
  <c r="F59" i="1"/>
  <c r="G59" i="1" s="1"/>
  <c r="F44" i="1"/>
  <c r="G44" i="1" s="1"/>
  <c r="F43" i="1"/>
  <c r="G43" i="1" s="1"/>
  <c r="F33" i="1"/>
  <c r="G33" i="1" s="1"/>
  <c r="F60" i="1"/>
  <c r="G60" i="1" s="1"/>
  <c r="F61" i="1"/>
  <c r="G61" i="1" s="1"/>
  <c r="F56" i="1"/>
  <c r="G56" i="1" s="1"/>
  <c r="F48" i="1"/>
  <c r="G48" i="1" s="1"/>
  <c r="F28" i="1"/>
  <c r="G28" i="1" s="1"/>
  <c r="F39" i="1"/>
  <c r="G39" i="1" s="1"/>
  <c r="F49" i="1"/>
  <c r="G49" i="1" s="1"/>
  <c r="F62" i="1"/>
  <c r="G62" i="1" s="1"/>
  <c r="F50" i="1"/>
  <c r="G50" i="1" s="1"/>
  <c r="F40" i="1"/>
  <c r="G40" i="1" s="1"/>
  <c r="F53" i="1"/>
  <c r="G53" i="1" s="1"/>
  <c r="F31" i="1"/>
  <c r="G31" i="1" s="1"/>
  <c r="F42" i="1"/>
  <c r="G42" i="1" s="1"/>
  <c r="F58" i="1"/>
  <c r="G58" i="1" s="1"/>
  <c r="F14" i="1"/>
  <c r="G14" i="1" s="1"/>
  <c r="H45" i="1" s="1"/>
  <c r="F25" i="1"/>
  <c r="G25" i="1" s="1"/>
  <c r="F24" i="1"/>
  <c r="G24" i="1" s="1"/>
  <c r="F19" i="1"/>
  <c r="G19" i="1" s="1"/>
  <c r="F34" i="1"/>
  <c r="G34" i="1" s="1"/>
  <c r="F30" i="1"/>
  <c r="G30" i="1" s="1"/>
  <c r="F20" i="1"/>
  <c r="G20" i="1" s="1"/>
  <c r="F26" i="1"/>
  <c r="G26" i="1" s="1"/>
  <c r="F15" i="1"/>
  <c r="G15" i="1" s="1"/>
  <c r="H15" i="1" s="1"/>
  <c r="F21" i="1"/>
  <c r="G21" i="1" s="1"/>
  <c r="F18" i="1"/>
  <c r="G18" i="1" s="1"/>
  <c r="F16" i="1"/>
  <c r="G16" i="1" s="1"/>
  <c r="F27" i="1"/>
  <c r="G27" i="1" s="1"/>
  <c r="G25" i="3"/>
  <c r="H21" i="1" l="1"/>
  <c r="H26" i="1"/>
  <c r="H20" i="1"/>
  <c r="H35" i="1"/>
  <c r="H49" i="1"/>
  <c r="H18" i="1"/>
  <c r="H39" i="1"/>
  <c r="H41" i="1"/>
  <c r="H55" i="1"/>
  <c r="H47" i="1"/>
  <c r="H50" i="1"/>
  <c r="H57" i="1"/>
  <c r="H62" i="1"/>
  <c r="H30" i="1"/>
  <c r="H48" i="1"/>
  <c r="H19" i="1"/>
  <c r="H24" i="1"/>
  <c r="H34" i="1"/>
  <c r="H56" i="1"/>
  <c r="H61" i="1"/>
  <c r="H14" i="1"/>
  <c r="H31" i="1"/>
  <c r="H59" i="1"/>
  <c r="H27" i="1"/>
  <c r="H53" i="1"/>
  <c r="H28" i="1"/>
  <c r="H38" i="1"/>
  <c r="H60" i="1"/>
  <c r="H33" i="1"/>
  <c r="H23" i="1"/>
  <c r="H43" i="1"/>
  <c r="H29" i="1"/>
  <c r="H42" i="1"/>
  <c r="H54" i="1"/>
  <c r="H58" i="1"/>
  <c r="H32" i="1"/>
  <c r="H16" i="1"/>
  <c r="H40" i="1"/>
  <c r="H37" i="1"/>
  <c r="H46" i="1"/>
  <c r="H52" i="1"/>
  <c r="H36" i="1"/>
  <c r="H51" i="1"/>
  <c r="H25" i="1"/>
  <c r="H44" i="1"/>
  <c r="H22" i="1"/>
  <c r="G26" i="3"/>
  <c r="I25" i="3"/>
  <c r="G31" i="3"/>
  <c r="I31" i="3" s="1"/>
  <c r="I26" i="3" l="1"/>
  <c r="G28" i="3"/>
  <c r="I28" i="3" l="1"/>
  <c r="G29" i="3"/>
  <c r="O23" i="1" l="1"/>
  <c r="I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F17" authorId="0" shapeId="0" xr:uid="{CF7AD683-DF24-4196-8D44-6F0F2631585D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!!! Changes from 1 @ 0% to 1,063 @ 100% !!!</t>
        </r>
      </text>
    </comment>
    <comment ref="B19" authorId="0" shapeId="0" xr:uid="{39F0C178-706F-4E48-83A9-153E39AE428A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Important notice:</t>
        </r>
        <r>
          <rPr>
            <sz val="9"/>
            <color indexed="81"/>
            <rFont val="Tahoma"/>
            <charset val="1"/>
          </rPr>
          <t xml:space="preserve">
f3 must always be bigger than fg !</t>
        </r>
      </text>
    </comment>
    <comment ref="I26" authorId="0" shapeId="0" xr:uid="{2D0E3F26-7B64-4513-8320-1842B823CE90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Volume of the chamber for further calcs.</t>
        </r>
      </text>
    </comment>
    <comment ref="G29" authorId="0" shapeId="0" xr:uid="{02F85BC9-24FF-491D-B287-9E8225C24932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Area of the throat for furter calcs</t>
        </r>
      </text>
    </comment>
    <comment ref="G31" authorId="0" shapeId="0" xr:uid="{B569E69C-5F7C-4A8E-9667-F2636A2208A2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Upper freq. limit for the pressure-transformation. Above this limit, the driver transmits freely to the front side. Behavior is compareable to a closed box.</t>
        </r>
      </text>
    </comment>
    <comment ref="I31" authorId="0" shapeId="0" xr:uid="{D7402537-427B-4A7C-BC69-958F2D7AE0B4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Suitable range of the horn in octaves</t>
        </r>
      </text>
    </comment>
    <comment ref="B32" authorId="0" shapeId="0" xr:uid="{20925A08-5330-4C00-8390-AF44A9EABA2B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… of the horn itself!</t>
        </r>
      </text>
    </comment>
    <comment ref="I32" authorId="0" shapeId="0" xr:uid="{8565958A-F0A4-49C0-9D5B-31AAB0F31FD6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max. SPL deriving from pressure-transformation</t>
        </r>
      </text>
    </comment>
    <comment ref="B33" authorId="0" shapeId="0" xr:uid="{DB836956-1436-4F3A-BCF6-F529E51A0B68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… of the calculated driver!</t>
        </r>
      </text>
    </comment>
    <comment ref="G33" authorId="0" shapeId="0" xr:uid="{A28D3F79-6143-4B86-A753-04534BB877C6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Important notice:</t>
        </r>
        <r>
          <rPr>
            <sz val="9"/>
            <color indexed="81"/>
            <rFont val="Tahoma"/>
            <charset val="1"/>
          </rPr>
          <t xml:space="preserve">
max. SPL of the driver must always be bigger than max. SPL of the horn! This helps to prevent distortion from compression-effects, appearing beyond k2!</t>
        </r>
      </text>
    </comment>
    <comment ref="I33" authorId="0" shapeId="0" xr:uid="{2425E9DA-8943-4C04-9CBF-7A38A40048C9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max. SPL of the driver (electrically)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barbara</author>
  </authors>
  <commentList>
    <comment ref="K11" authorId="0" shapeId="0" xr:uid="{FFF8F533-BE58-467D-A126-3F392DEA8F0E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Pls. see the calculation of  the constant PHI below!
Do not change this value.</t>
        </r>
      </text>
    </comment>
    <comment ref="N11" authorId="0" shapeId="0" xr:uid="{FD3F3071-3342-43C2-83B6-AB38BF6A13D7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constant "PHI"</t>
        </r>
      </text>
    </comment>
    <comment ref="K13" authorId="0" shapeId="0" xr:uid="{042A8C5D-4898-4467-BA47-71994C5D7E1D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This freq. figure for &lt;</t>
        </r>
        <r>
          <rPr>
            <b/>
            <sz val="9"/>
            <color indexed="81"/>
            <rFont val="Tahoma"/>
            <family val="2"/>
          </rPr>
          <t>fg</t>
        </r>
        <r>
          <rPr>
            <sz val="9"/>
            <color indexed="81"/>
            <rFont val="Tahoma"/>
            <family val="2"/>
          </rPr>
          <t>&gt;</t>
        </r>
        <r>
          <rPr>
            <sz val="9"/>
            <color indexed="81"/>
            <rFont val="Tahoma"/>
            <charset val="1"/>
          </rPr>
          <t xml:space="preserve"> can be found from the table at the left. Insert the value, corresponding to the calculated value for &lt;</t>
        </r>
        <r>
          <rPr>
            <b/>
            <sz val="9"/>
            <color indexed="81"/>
            <rFont val="Tahoma"/>
            <family val="2"/>
          </rPr>
          <t>m</t>
        </r>
        <r>
          <rPr>
            <sz val="9"/>
            <color indexed="81"/>
            <rFont val="Tahoma"/>
            <charset val="1"/>
          </rPr>
          <t>&gt;.</t>
        </r>
      </text>
    </comment>
    <comment ref="N22" authorId="0" shapeId="0" xr:uid="{A72BBFB7-1013-4093-A602-D02006AD5E65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must be bigger than fg!</t>
        </r>
      </text>
    </comment>
    <comment ref="N23" authorId="0" shapeId="0" xr:uid="{6F532D69-FF14-4A7A-8EFE-FAD9EA61469D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compare to Ah on this sheet!
Set (Wconst * H0) accordingly for correct Ah!</t>
        </r>
      </text>
    </comment>
    <comment ref="K30" authorId="0" shapeId="0" xr:uid="{A1DB03B7-DB2E-4B31-89C6-5FCEAE5370ED}">
      <text>
        <r>
          <rPr>
            <b/>
            <sz val="9"/>
            <color indexed="81"/>
            <rFont val="Tahoma"/>
            <charset val="1"/>
          </rPr>
          <t>barbara:</t>
        </r>
        <r>
          <rPr>
            <sz val="9"/>
            <color indexed="81"/>
            <rFont val="Tahoma"/>
            <charset val="1"/>
          </rPr>
          <t xml:space="preserve">
This factor must be looked for in the table at the left side in row &lt;</t>
        </r>
        <r>
          <rPr>
            <b/>
            <sz val="9"/>
            <color indexed="81"/>
            <rFont val="Tahoma"/>
            <family val="2"/>
          </rPr>
          <t>P-Transf.</t>
        </r>
        <r>
          <rPr>
            <sz val="9"/>
            <color indexed="81"/>
            <rFont val="Tahoma"/>
            <charset val="1"/>
          </rPr>
          <t>&gt;. The corresponding value for &lt;</t>
        </r>
        <r>
          <rPr>
            <b/>
            <sz val="9"/>
            <color indexed="81"/>
            <rFont val="Tahoma"/>
            <family val="2"/>
          </rPr>
          <t>Distance</t>
        </r>
        <r>
          <rPr>
            <sz val="9"/>
            <color indexed="81"/>
            <rFont val="Tahoma"/>
            <charset val="1"/>
          </rPr>
          <t>&gt; shows the max. length of the horn guide.
Any longer horn guide does not make sense, since P cannot be transformed to a value below ambient air-pressure!</t>
        </r>
      </text>
    </comment>
  </commentList>
</comments>
</file>

<file path=xl/sharedStrings.xml><?xml version="1.0" encoding="utf-8"?>
<sst xmlns="http://schemas.openxmlformats.org/spreadsheetml/2006/main" count="143" uniqueCount="120">
  <si>
    <t>m</t>
  </si>
  <si>
    <t>T</t>
  </si>
  <si>
    <t>horn type constant</t>
  </si>
  <si>
    <t>c</t>
  </si>
  <si>
    <t>Definitions</t>
  </si>
  <si>
    <t>INPUT</t>
  </si>
  <si>
    <t>height of horn at distance x</t>
  </si>
  <si>
    <t>area of the throat (x=0)</t>
  </si>
  <si>
    <t>[mm]</t>
  </si>
  <si>
    <t>x</t>
  </si>
  <si>
    <t>distance from throat</t>
  </si>
  <si>
    <t>[Hz]</t>
  </si>
  <si>
    <t>x [mm]</t>
  </si>
  <si>
    <t>DISTANCE</t>
  </si>
  <si>
    <t>AREA</t>
  </si>
  <si>
    <t>RESULT</t>
  </si>
  <si>
    <t>UNIT</t>
  </si>
  <si>
    <t>Description</t>
  </si>
  <si>
    <t>P-TRANSF.</t>
  </si>
  <si>
    <t>PHI</t>
  </si>
  <si>
    <t>PASSWORD</t>
  </si>
  <si>
    <t>horn</t>
  </si>
  <si>
    <t>protection of this sheet:</t>
  </si>
  <si>
    <t>[m/s]</t>
  </si>
  <si>
    <t>unit</t>
  </si>
  <si>
    <t>effective cone area</t>
  </si>
  <si>
    <t>force factor B*l</t>
  </si>
  <si>
    <t>SP-30PATC</t>
  </si>
  <si>
    <t>[T*m]</t>
  </si>
  <si>
    <t>equivalent volume</t>
  </si>
  <si>
    <t>[mm/N]</t>
  </si>
  <si>
    <t>Hz</t>
  </si>
  <si>
    <t>volume change by excursion</t>
  </si>
  <si>
    <t>pressure change index</t>
  </si>
  <si>
    <t>liter</t>
  </si>
  <si>
    <t>chamber volume</t>
  </si>
  <si>
    <t>area at horn throat (lossless)</t>
  </si>
  <si>
    <t>SPL</t>
  </si>
  <si>
    <t>[dB]</t>
  </si>
  <si>
    <t>[W_el]</t>
  </si>
  <si>
    <t>[dB_SPL]</t>
  </si>
  <si>
    <t>nom. electrical power handling</t>
  </si>
  <si>
    <t>octaves</t>
  </si>
  <si>
    <t>height at throat</t>
  </si>
  <si>
    <t>max. acoustic sound pressure @ 100Hz, k2 &lt; 1% (horn)</t>
  </si>
  <si>
    <t>max. acoustic sound pressure @ 100Hz, k2 &lt; 1% (driver)</t>
  </si>
  <si>
    <t>description</t>
  </si>
  <si>
    <t>normalized sound pressure 1W 1m (efficiency)</t>
  </si>
  <si>
    <t>air weight</t>
  </si>
  <si>
    <t>HEIGHT</t>
  </si>
  <si>
    <t>[m²]</t>
  </si>
  <si>
    <t>[m³]</t>
  </si>
  <si>
    <t>area at horn throat (incl. losses)</t>
  </si>
  <si>
    <t>[kg/m³]</t>
  </si>
  <si>
    <t>sonic speed</t>
  </si>
  <si>
    <t>Results from &lt;chamber&gt;</t>
  </si>
  <si>
    <t>Constant "m" should be close to this value!!!</t>
  </si>
  <si>
    <t>total Q-factor</t>
  </si>
  <si>
    <t>eff. chamber volume (after wadding)</t>
  </si>
  <si>
    <t>[mm³]</t>
  </si>
  <si>
    <t>suspension compliance</t>
  </si>
  <si>
    <t>linear excursion (+/-)</t>
  </si>
  <si>
    <t>usable lowest freq. limit @ -3dB</t>
  </si>
  <si>
    <t>mm</t>
  </si>
  <si>
    <t xml:space="preserve">Horn guiding at a constant width of </t>
  </si>
  <si>
    <t>lossless</t>
  </si>
  <si>
    <t>incl. losses from turbulence</t>
  </si>
  <si>
    <t>compliance/stiffness of air weight @ 50% humidity</t>
  </si>
  <si>
    <t>[cm²]</t>
  </si>
  <si>
    <t>[mm²]</t>
  </si>
  <si>
    <r>
      <t>[mm</t>
    </r>
    <r>
      <rPr>
        <sz val="10"/>
        <rFont val="Arial"/>
        <family val="2"/>
      </rPr>
      <t>²</t>
    </r>
    <r>
      <rPr>
        <sz val="10"/>
        <rFont val="Arial"/>
      </rPr>
      <t>]</t>
    </r>
  </si>
  <si>
    <t>[W_ac/dm²]</t>
  </si>
  <si>
    <t>area of the horn at distance x</t>
  </si>
  <si>
    <t>constant width of the horn guiding</t>
  </si>
  <si>
    <t>horn opening constant (calc.)</t>
  </si>
  <si>
    <t>Max. length of horn-guide
@ P-TRANSFORMATION factor
(resulting in max. distance X)</t>
  </si>
  <si>
    <t>lowest frequency limit of P-transf.</t>
  </si>
  <si>
    <t>The horn opening constant</t>
  </si>
  <si>
    <t>Universal formula for any type of horn</t>
  </si>
  <si>
    <t>eff. pressure change index, due to compliance and B*l</t>
  </si>
  <si>
    <t>[dm³] or Liter</t>
  </si>
  <si>
    <t>PW</t>
  </si>
  <si>
    <t>chamber</t>
  </si>
  <si>
    <t>USER MANUAL</t>
  </si>
  <si>
    <r>
      <t>A</t>
    </r>
    <r>
      <rPr>
        <vertAlign val="subscript"/>
        <sz val="10"/>
        <rFont val="Arial"/>
        <family val="2"/>
      </rPr>
      <t>x</t>
    </r>
  </si>
  <si>
    <r>
      <t>A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 [m²]</t>
    </r>
  </si>
  <si>
    <r>
      <t>W</t>
    </r>
    <r>
      <rPr>
        <vertAlign val="subscript"/>
        <sz val="10"/>
        <rFont val="Arial"/>
        <family val="2"/>
      </rPr>
      <t>const</t>
    </r>
  </si>
  <si>
    <r>
      <t>H</t>
    </r>
    <r>
      <rPr>
        <vertAlign val="subscript"/>
        <sz val="10"/>
        <rFont val="Arial"/>
        <family val="2"/>
      </rPr>
      <t>x</t>
    </r>
  </si>
  <si>
    <r>
      <t>H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 [mm]</t>
    </r>
  </si>
  <si>
    <r>
      <t>f</t>
    </r>
    <r>
      <rPr>
        <b/>
        <vertAlign val="subscript"/>
        <sz val="10"/>
        <rFont val="Arial"/>
        <family val="2"/>
      </rPr>
      <t>g</t>
    </r>
    <r>
      <rPr>
        <b/>
        <sz val="10"/>
        <rFont val="Arial"/>
        <family val="2"/>
      </rPr>
      <t xml:space="preserve"> [Hz]</t>
    </r>
  </si>
  <si>
    <r>
      <t>A</t>
    </r>
    <r>
      <rPr>
        <vertAlign val="subscript"/>
        <sz val="10"/>
        <rFont val="Arial"/>
        <family val="2"/>
      </rPr>
      <t>h</t>
    </r>
  </si>
  <si>
    <r>
      <t>H</t>
    </r>
    <r>
      <rPr>
        <vertAlign val="subscript"/>
        <sz val="10"/>
        <rFont val="Arial"/>
        <family val="2"/>
      </rPr>
      <t>0</t>
    </r>
  </si>
  <si>
    <r>
      <t>f</t>
    </r>
    <r>
      <rPr>
        <vertAlign val="subscript"/>
        <sz val="10"/>
        <rFont val="Arial"/>
        <family val="2"/>
      </rPr>
      <t>g</t>
    </r>
  </si>
  <si>
    <r>
      <t>f</t>
    </r>
    <r>
      <rPr>
        <b/>
        <vertAlign val="subscript"/>
        <sz val="10"/>
        <color rgb="FFFFFF00"/>
        <rFont val="Arial"/>
        <family val="2"/>
      </rPr>
      <t>3</t>
    </r>
  </si>
  <si>
    <r>
      <t>A</t>
    </r>
    <r>
      <rPr>
        <b/>
        <vertAlign val="subscript"/>
        <sz val="10"/>
        <color rgb="FFFFFF00"/>
        <rFont val="Arial"/>
        <family val="2"/>
      </rPr>
      <t>h</t>
    </r>
  </si>
  <si>
    <r>
      <t>x</t>
    </r>
    <r>
      <rPr>
        <b/>
        <vertAlign val="subscript"/>
        <sz val="10"/>
        <rFont val="Arial"/>
        <family val="2"/>
      </rPr>
      <t>max</t>
    </r>
  </si>
  <si>
    <r>
      <t>f</t>
    </r>
    <r>
      <rPr>
        <b/>
        <vertAlign val="subscript"/>
        <sz val="10"/>
        <rFont val="Arial"/>
        <family val="2"/>
      </rPr>
      <t>s</t>
    </r>
  </si>
  <si>
    <t>open-air resonant frequency (driver)</t>
  </si>
  <si>
    <r>
      <t>P</t>
    </r>
    <r>
      <rPr>
        <b/>
        <vertAlign val="subscript"/>
        <sz val="10"/>
        <rFont val="Arial"/>
        <family val="2"/>
      </rPr>
      <t>el</t>
    </r>
  </si>
  <si>
    <r>
      <t>A</t>
    </r>
    <r>
      <rPr>
        <b/>
        <vertAlign val="subscript"/>
        <sz val="10"/>
        <rFont val="Arial"/>
        <family val="2"/>
      </rPr>
      <t>cone</t>
    </r>
  </si>
  <si>
    <r>
      <t>F</t>
    </r>
    <r>
      <rPr>
        <b/>
        <vertAlign val="subscript"/>
        <sz val="10"/>
        <rFont val="Arial"/>
        <family val="2"/>
      </rPr>
      <t>cone</t>
    </r>
  </si>
  <si>
    <r>
      <t>X</t>
    </r>
    <r>
      <rPr>
        <b/>
        <vertAlign val="subscript"/>
        <sz val="10"/>
        <rFont val="Arial"/>
        <family val="2"/>
      </rPr>
      <t>lin</t>
    </r>
  </si>
  <si>
    <r>
      <t>Q</t>
    </r>
    <r>
      <rPr>
        <b/>
        <vertAlign val="subscript"/>
        <sz val="10"/>
        <rFont val="Arial"/>
        <family val="2"/>
      </rPr>
      <t>ts</t>
    </r>
  </si>
  <si>
    <r>
      <t>V</t>
    </r>
    <r>
      <rPr>
        <b/>
        <vertAlign val="subscript"/>
        <sz val="10"/>
        <rFont val="Arial"/>
        <family val="2"/>
      </rPr>
      <t>as</t>
    </r>
  </si>
  <si>
    <r>
      <t>C</t>
    </r>
    <r>
      <rPr>
        <b/>
        <vertAlign val="subscript"/>
        <sz val="10"/>
        <rFont val="Arial"/>
        <family val="2"/>
      </rPr>
      <t>ms</t>
    </r>
  </si>
  <si>
    <r>
      <t>G</t>
    </r>
    <r>
      <rPr>
        <b/>
        <vertAlign val="subscript"/>
        <sz val="10"/>
        <rFont val="Arial"/>
        <family val="2"/>
      </rPr>
      <t>air</t>
    </r>
  </si>
  <si>
    <r>
      <t>C</t>
    </r>
    <r>
      <rPr>
        <b/>
        <vertAlign val="subscript"/>
        <sz val="10"/>
        <rFont val="Arial"/>
        <family val="2"/>
      </rPr>
      <t>ga</t>
    </r>
  </si>
  <si>
    <r>
      <t>f</t>
    </r>
    <r>
      <rPr>
        <b/>
        <vertAlign val="subscript"/>
        <sz val="10"/>
        <rFont val="Arial"/>
        <family val="2"/>
      </rPr>
      <t>3</t>
    </r>
  </si>
  <si>
    <r>
      <t>V</t>
    </r>
    <r>
      <rPr>
        <b/>
        <vertAlign val="subscript"/>
        <sz val="10"/>
        <rFont val="Arial"/>
        <family val="2"/>
      </rPr>
      <t>ch</t>
    </r>
  </si>
  <si>
    <r>
      <t>P</t>
    </r>
    <r>
      <rPr>
        <b/>
        <vertAlign val="subscript"/>
        <sz val="10"/>
        <rFont val="Arial"/>
        <family val="2"/>
      </rPr>
      <t>ind</t>
    </r>
  </si>
  <si>
    <r>
      <t>P</t>
    </r>
    <r>
      <rPr>
        <b/>
        <vertAlign val="subscript"/>
        <sz val="10"/>
        <rFont val="Arial"/>
        <family val="2"/>
      </rPr>
      <t>ind_eff</t>
    </r>
  </si>
  <si>
    <r>
      <t>V</t>
    </r>
    <r>
      <rPr>
        <b/>
        <vertAlign val="subscript"/>
        <sz val="10"/>
        <rFont val="Arial"/>
        <family val="2"/>
      </rPr>
      <t>chamb</t>
    </r>
  </si>
  <si>
    <r>
      <t>V</t>
    </r>
    <r>
      <rPr>
        <b/>
        <vertAlign val="subscript"/>
        <sz val="10"/>
        <rFont val="Arial"/>
        <family val="2"/>
      </rPr>
      <t>chamb_eff</t>
    </r>
  </si>
  <si>
    <r>
      <t>A</t>
    </r>
    <r>
      <rPr>
        <b/>
        <vertAlign val="subscript"/>
        <sz val="10"/>
        <rFont val="Arial"/>
        <family val="2"/>
      </rPr>
      <t>h</t>
    </r>
  </si>
  <si>
    <r>
      <t>A</t>
    </r>
    <r>
      <rPr>
        <b/>
        <vertAlign val="subscript"/>
        <sz val="10"/>
        <rFont val="Arial"/>
        <family val="2"/>
      </rPr>
      <t>h_ll</t>
    </r>
  </si>
  <si>
    <r>
      <t>f</t>
    </r>
    <r>
      <rPr>
        <b/>
        <vertAlign val="subscript"/>
        <sz val="10"/>
        <rFont val="Arial"/>
        <family val="2"/>
      </rPr>
      <t>max</t>
    </r>
  </si>
  <si>
    <r>
      <t>SPL</t>
    </r>
    <r>
      <rPr>
        <b/>
        <vertAlign val="subscript"/>
        <sz val="10"/>
        <rFont val="Arial"/>
        <family val="2"/>
      </rPr>
      <t>max_ac</t>
    </r>
  </si>
  <si>
    <r>
      <t>SPL</t>
    </r>
    <r>
      <rPr>
        <b/>
        <vertAlign val="subscript"/>
        <sz val="10"/>
        <rFont val="Arial"/>
        <family val="2"/>
      </rPr>
      <t>max_el</t>
    </r>
  </si>
  <si>
    <t>upper freq. limit of the pressure transformation of the horn (-3dB)</t>
  </si>
  <si>
    <t>There is a User Manual available in which I explain
 how to use this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</si>
</sst>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"/>
    <numFmt numFmtId="166" formatCode="0.000"/>
    <numFmt numFmtId="167" formatCode="0.0"/>
  </numFmts>
  <fonts count="2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13"/>
      <name val="Arial"/>
      <family val="2"/>
    </font>
    <font>
      <sz val="10"/>
      <color indexed="13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indexed="22"/>
      <name val="Arial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FF00"/>
      <name val="Arial"/>
      <family val="2"/>
    </font>
    <font>
      <u/>
      <sz val="10"/>
      <color theme="10"/>
      <name val="Arial"/>
      <family val="2"/>
    </font>
    <font>
      <vertAlign val="subscript"/>
      <sz val="10"/>
      <name val="Arial"/>
      <family val="2"/>
    </font>
    <font>
      <b/>
      <vertAlign val="subscript"/>
      <sz val="10"/>
      <name val="Arial"/>
      <family val="2"/>
    </font>
    <font>
      <b/>
      <vertAlign val="subscript"/>
      <sz val="10"/>
      <color rgb="FFFFFF00"/>
      <name val="Arial"/>
      <family val="2"/>
    </font>
    <font>
      <b/>
      <u/>
      <sz val="14"/>
      <color theme="10"/>
      <name val="Arial Rounded MT Bold"/>
      <family val="2"/>
    </font>
    <font>
      <b/>
      <sz val="16"/>
      <color rgb="FFFFFF00"/>
      <name val="Arial Rounded MT Bold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3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0" fillId="0" borderId="1" xfId="0" applyBorder="1" applyProtection="1"/>
    <xf numFmtId="166" fontId="0" fillId="3" borderId="1" xfId="0" applyNumberFormat="1" applyFill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1" fontId="0" fillId="3" borderId="1" xfId="0" applyNumberForma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166" fontId="0" fillId="0" borderId="12" xfId="0" applyNumberFormat="1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6" xfId="0" applyBorder="1" applyProtection="1"/>
    <xf numFmtId="0" fontId="0" fillId="0" borderId="17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17" xfId="0" applyBorder="1" applyProtection="1"/>
    <xf numFmtId="0" fontId="0" fillId="0" borderId="20" xfId="0" applyBorder="1" applyAlignment="1" applyProtection="1">
      <alignment horizontal="center"/>
    </xf>
    <xf numFmtId="0" fontId="0" fillId="4" borderId="17" xfId="0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/>
    </xf>
    <xf numFmtId="0" fontId="4" fillId="0" borderId="8" xfId="0" applyFont="1" applyBorder="1" applyProtection="1"/>
    <xf numFmtId="0" fontId="1" fillId="0" borderId="9" xfId="0" applyFont="1" applyBorder="1" applyAlignment="1" applyProtection="1">
      <alignment horizontal="center"/>
    </xf>
    <xf numFmtId="0" fontId="2" fillId="0" borderId="0" xfId="0" applyFont="1" applyProtection="1"/>
    <xf numFmtId="0" fontId="0" fillId="0" borderId="22" xfId="0" applyBorder="1" applyAlignment="1" applyProtection="1">
      <alignment horizontal="center"/>
    </xf>
    <xf numFmtId="0" fontId="0" fillId="5" borderId="20" xfId="0" applyFill="1" applyBorder="1" applyAlignment="1" applyProtection="1">
      <alignment horizontal="center"/>
    </xf>
    <xf numFmtId="0" fontId="0" fillId="6" borderId="17" xfId="0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166" fontId="6" fillId="7" borderId="0" xfId="0" applyNumberFormat="1" applyFont="1" applyFill="1" applyAlignment="1" applyProtection="1">
      <alignment horizontal="center"/>
    </xf>
    <xf numFmtId="0" fontId="6" fillId="7" borderId="0" xfId="0" applyFont="1" applyFill="1" applyBorder="1" applyProtection="1"/>
    <xf numFmtId="0" fontId="7" fillId="7" borderId="0" xfId="0" applyFont="1" applyFill="1" applyAlignment="1" applyProtection="1">
      <alignment horizontal="center"/>
    </xf>
    <xf numFmtId="164" fontId="0" fillId="3" borderId="1" xfId="0" applyNumberFormat="1" applyFill="1" applyBorder="1" applyAlignment="1" applyProtection="1">
      <alignment horizontal="center"/>
    </xf>
    <xf numFmtId="164" fontId="6" fillId="7" borderId="0" xfId="0" applyNumberFormat="1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2" fillId="0" borderId="1" xfId="0" applyFont="1" applyBorder="1" applyProtection="1"/>
    <xf numFmtId="0" fontId="2" fillId="2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0" borderId="23" xfId="0" applyBorder="1" applyProtection="1"/>
    <xf numFmtId="165" fontId="0" fillId="3" borderId="1" xfId="0" applyNumberFormat="1" applyFill="1" applyBorder="1" applyAlignment="1" applyProtection="1">
      <alignment horizontal="center"/>
    </xf>
    <xf numFmtId="2" fontId="2" fillId="3" borderId="1" xfId="0" applyNumberFormat="1" applyFont="1" applyFill="1" applyBorder="1" applyAlignment="1" applyProtection="1">
      <alignment horizontal="center"/>
    </xf>
    <xf numFmtId="167" fontId="2" fillId="3" borderId="1" xfId="0" applyNumberFormat="1" applyFont="1" applyFill="1" applyBorder="1" applyAlignment="1" applyProtection="1">
      <alignment horizontal="center"/>
    </xf>
    <xf numFmtId="0" fontId="2" fillId="0" borderId="23" xfId="0" applyFont="1" applyBorder="1" applyProtection="1"/>
    <xf numFmtId="1" fontId="2" fillId="3" borderId="1" xfId="0" applyNumberFormat="1" applyFont="1" applyFill="1" applyBorder="1" applyAlignment="1" applyProtection="1">
      <alignment horizontal="center"/>
    </xf>
    <xf numFmtId="165" fontId="0" fillId="0" borderId="23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10" fillId="0" borderId="0" xfId="0" applyFont="1" applyProtection="1"/>
    <xf numFmtId="0" fontId="11" fillId="0" borderId="0" xfId="0" applyFont="1"/>
    <xf numFmtId="0" fontId="12" fillId="0" borderId="0" xfId="0" applyFont="1" applyAlignment="1">
      <alignment horizontal="center"/>
    </xf>
    <xf numFmtId="0" fontId="0" fillId="0" borderId="24" xfId="0" applyBorder="1" applyAlignment="1" applyProtection="1">
      <alignment horizontal="center"/>
    </xf>
    <xf numFmtId="0" fontId="0" fillId="0" borderId="25" xfId="0" applyBorder="1" applyAlignment="1" applyProtection="1">
      <alignment horizontal="center"/>
    </xf>
    <xf numFmtId="166" fontId="0" fillId="0" borderId="1" xfId="0" applyNumberFormat="1" applyBorder="1" applyAlignment="1" applyProtection="1">
      <alignment horizontal="center"/>
    </xf>
    <xf numFmtId="0" fontId="2" fillId="5" borderId="0" xfId="0" applyFont="1" applyFill="1" applyBorder="1" applyProtection="1"/>
    <xf numFmtId="0" fontId="2" fillId="5" borderId="0" xfId="0" applyFont="1" applyFill="1" applyProtection="1"/>
    <xf numFmtId="164" fontId="0" fillId="5" borderId="1" xfId="0" applyNumberFormat="1" applyFill="1" applyBorder="1" applyAlignment="1" applyProtection="1">
      <alignment horizontal="center"/>
    </xf>
    <xf numFmtId="1" fontId="0" fillId="0" borderId="1" xfId="0" applyNumberFormat="1" applyBorder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right"/>
    </xf>
    <xf numFmtId="166" fontId="0" fillId="0" borderId="21" xfId="0" applyNumberFormat="1" applyBorder="1" applyAlignment="1" applyProtection="1">
      <alignment horizontal="center"/>
    </xf>
    <xf numFmtId="1" fontId="0" fillId="0" borderId="21" xfId="0" applyNumberFormat="1" applyBorder="1" applyAlignment="1" applyProtection="1">
      <alignment horizontal="center"/>
    </xf>
    <xf numFmtId="166" fontId="0" fillId="0" borderId="19" xfId="0" applyNumberFormat="1" applyBorder="1" applyAlignment="1" applyProtection="1">
      <alignment horizontal="center"/>
    </xf>
    <xf numFmtId="0" fontId="0" fillId="4" borderId="26" xfId="0" applyFill="1" applyBorder="1" applyAlignment="1" applyProtection="1">
      <alignment horizontal="center"/>
    </xf>
    <xf numFmtId="166" fontId="0" fillId="0" borderId="27" xfId="0" applyNumberFormat="1" applyBorder="1" applyAlignment="1" applyProtection="1">
      <alignment horizontal="center"/>
    </xf>
    <xf numFmtId="0" fontId="0" fillId="6" borderId="28" xfId="0" applyFill="1" applyBorder="1" applyAlignment="1" applyProtection="1">
      <alignment horizontal="center"/>
    </xf>
    <xf numFmtId="166" fontId="0" fillId="0" borderId="29" xfId="0" applyNumberFormat="1" applyBorder="1" applyAlignment="1" applyProtection="1">
      <alignment horizontal="center"/>
    </xf>
    <xf numFmtId="0" fontId="16" fillId="8" borderId="0" xfId="0" applyFont="1" applyFill="1" applyAlignment="1" applyProtection="1">
      <alignment horizontal="center"/>
    </xf>
    <xf numFmtId="0" fontId="0" fillId="0" borderId="1" xfId="0" applyBorder="1" applyProtection="1"/>
    <xf numFmtId="0" fontId="0" fillId="0" borderId="1" xfId="0" applyBorder="1" applyProtection="1"/>
    <xf numFmtId="0" fontId="5" fillId="2" borderId="0" xfId="0" applyFont="1" applyFill="1" applyProtection="1">
      <protection locked="0"/>
    </xf>
    <xf numFmtId="0" fontId="2" fillId="0" borderId="1" xfId="0" applyFont="1" applyBorder="1" applyProtection="1"/>
    <xf numFmtId="0" fontId="0" fillId="0" borderId="1" xfId="0" applyFill="1" applyBorder="1" applyProtection="1"/>
    <xf numFmtId="0" fontId="2" fillId="0" borderId="11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wrapText="1"/>
    </xf>
    <xf numFmtId="0" fontId="0" fillId="0" borderId="30" xfId="0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4" fillId="0" borderId="0" xfId="0" applyFont="1" applyAlignment="1" applyProtection="1">
      <alignment wrapText="1"/>
    </xf>
    <xf numFmtId="0" fontId="6" fillId="7" borderId="8" xfId="0" applyFont="1" applyFill="1" applyBorder="1" applyProtection="1"/>
    <xf numFmtId="0" fontId="6" fillId="7" borderId="10" xfId="0" applyFont="1" applyFill="1" applyBorder="1" applyProtection="1"/>
    <xf numFmtId="0" fontId="6" fillId="7" borderId="9" xfId="0" applyFont="1" applyFill="1" applyBorder="1" applyProtection="1"/>
    <xf numFmtId="0" fontId="2" fillId="0" borderId="3" xfId="0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3" fillId="0" borderId="24" xfId="0" applyFont="1" applyBorder="1" applyAlignment="1" applyProtection="1">
      <alignment horizontal="center"/>
    </xf>
    <xf numFmtId="0" fontId="13" fillId="0" borderId="14" xfId="0" applyFont="1" applyBorder="1" applyAlignment="1" applyProtection="1">
      <alignment horizontal="center"/>
    </xf>
    <xf numFmtId="0" fontId="13" fillId="0" borderId="15" xfId="0" applyFont="1" applyBorder="1" applyAlignment="1" applyProtection="1">
      <alignment horizontal="center"/>
    </xf>
    <xf numFmtId="0" fontId="13" fillId="0" borderId="1" xfId="0" applyFont="1" applyBorder="1" applyProtection="1"/>
    <xf numFmtId="2" fontId="0" fillId="3" borderId="1" xfId="0" applyNumberFormat="1" applyFill="1" applyBorder="1" applyAlignment="1" applyProtection="1">
      <alignment horizontal="center"/>
    </xf>
    <xf numFmtId="167" fontId="0" fillId="3" borderId="1" xfId="0" applyNumberFormat="1" applyFill="1" applyBorder="1" applyAlignment="1" applyProtection="1">
      <alignment horizontal="center"/>
    </xf>
    <xf numFmtId="0" fontId="0" fillId="0" borderId="30" xfId="0" applyBorder="1" applyAlignment="1" applyProtection="1"/>
    <xf numFmtId="0" fontId="0" fillId="0" borderId="31" xfId="0" applyBorder="1" applyAlignment="1"/>
    <xf numFmtId="0" fontId="0" fillId="0" borderId="30" xfId="0" applyBorder="1" applyAlignment="1" applyProtection="1"/>
    <xf numFmtId="0" fontId="0" fillId="0" borderId="31" xfId="0" applyBorder="1" applyAlignment="1" applyProtection="1"/>
    <xf numFmtId="0" fontId="0" fillId="0" borderId="23" xfId="0" applyBorder="1" applyAlignment="1"/>
    <xf numFmtId="0" fontId="13" fillId="0" borderId="1" xfId="0" applyFont="1" applyBorder="1" applyProtection="1"/>
    <xf numFmtId="0" fontId="21" fillId="9" borderId="0" xfId="1" applyFont="1" applyFill="1" applyAlignment="1" applyProtection="1">
      <alignment horizontal="center" vertical="center" wrapText="1"/>
      <protection locked="0"/>
    </xf>
    <xf numFmtId="0" fontId="22" fillId="8" borderId="0" xfId="0" applyFont="1" applyFill="1" applyAlignment="1" applyProtection="1">
      <alignment horizontal="center" vertical="center" wrapText="1"/>
    </xf>
    <xf numFmtId="0" fontId="22" fillId="8" borderId="0" xfId="0" applyFont="1" applyFill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/>
              <a:t>Horn-Guiding  </a:t>
            </a:r>
          </a:p>
        </c:rich>
      </c:tx>
      <c:layout>
        <c:manualLayout>
          <c:xMode val="edge"/>
          <c:yMode val="edge"/>
          <c:x val="0.42233914150783503"/>
          <c:y val="2.9498525073746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41902774366219"/>
          <c:y val="0.17109169186095921"/>
          <c:w val="0.86474823546354507"/>
          <c:h val="0.651918343125379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'calc.'!$E$14:$E$62</c:f>
              <c:numCache>
                <c:formatCode>General</c:formatCode>
                <c:ptCount val="49"/>
                <c:pt idx="0">
                  <c:v>0</c:v>
                </c:pt>
                <c:pt idx="1">
                  <c:v>50</c:v>
                </c:pt>
                <c:pt idx="2">
                  <c:v>100</c:v>
                </c:pt>
                <c:pt idx="3">
                  <c:v>150</c:v>
                </c:pt>
                <c:pt idx="4">
                  <c:v>200</c:v>
                </c:pt>
                <c:pt idx="5">
                  <c:v>250</c:v>
                </c:pt>
                <c:pt idx="6">
                  <c:v>300</c:v>
                </c:pt>
                <c:pt idx="7">
                  <c:v>350</c:v>
                </c:pt>
                <c:pt idx="8">
                  <c:v>400</c:v>
                </c:pt>
                <c:pt idx="9">
                  <c:v>450</c:v>
                </c:pt>
                <c:pt idx="10">
                  <c:v>500</c:v>
                </c:pt>
                <c:pt idx="11">
                  <c:v>550</c:v>
                </c:pt>
                <c:pt idx="12">
                  <c:v>600</c:v>
                </c:pt>
                <c:pt idx="13">
                  <c:v>650</c:v>
                </c:pt>
                <c:pt idx="14">
                  <c:v>700</c:v>
                </c:pt>
                <c:pt idx="15">
                  <c:v>750</c:v>
                </c:pt>
                <c:pt idx="16">
                  <c:v>800</c:v>
                </c:pt>
                <c:pt idx="17">
                  <c:v>850</c:v>
                </c:pt>
                <c:pt idx="18">
                  <c:v>900</c:v>
                </c:pt>
                <c:pt idx="19">
                  <c:v>950</c:v>
                </c:pt>
                <c:pt idx="20">
                  <c:v>1000</c:v>
                </c:pt>
                <c:pt idx="21">
                  <c:v>1050</c:v>
                </c:pt>
                <c:pt idx="22">
                  <c:v>1100</c:v>
                </c:pt>
                <c:pt idx="23">
                  <c:v>1150</c:v>
                </c:pt>
                <c:pt idx="24">
                  <c:v>1200</c:v>
                </c:pt>
                <c:pt idx="25">
                  <c:v>1250</c:v>
                </c:pt>
                <c:pt idx="26">
                  <c:v>1300</c:v>
                </c:pt>
                <c:pt idx="27">
                  <c:v>1350</c:v>
                </c:pt>
                <c:pt idx="28">
                  <c:v>1400</c:v>
                </c:pt>
                <c:pt idx="29">
                  <c:v>1450</c:v>
                </c:pt>
                <c:pt idx="30">
                  <c:v>1500</c:v>
                </c:pt>
                <c:pt idx="31">
                  <c:v>1550</c:v>
                </c:pt>
                <c:pt idx="32">
                  <c:v>1600</c:v>
                </c:pt>
                <c:pt idx="33">
                  <c:v>1650</c:v>
                </c:pt>
                <c:pt idx="34">
                  <c:v>1700</c:v>
                </c:pt>
                <c:pt idx="35">
                  <c:v>1750</c:v>
                </c:pt>
                <c:pt idx="36">
                  <c:v>1800</c:v>
                </c:pt>
                <c:pt idx="37">
                  <c:v>1850</c:v>
                </c:pt>
                <c:pt idx="38">
                  <c:v>1900</c:v>
                </c:pt>
                <c:pt idx="39">
                  <c:v>1950</c:v>
                </c:pt>
                <c:pt idx="40">
                  <c:v>2000</c:v>
                </c:pt>
                <c:pt idx="41">
                  <c:v>2050</c:v>
                </c:pt>
                <c:pt idx="42">
                  <c:v>2100</c:v>
                </c:pt>
                <c:pt idx="43">
                  <c:v>2150</c:v>
                </c:pt>
                <c:pt idx="44">
                  <c:v>2200</c:v>
                </c:pt>
                <c:pt idx="45">
                  <c:v>2250</c:v>
                </c:pt>
                <c:pt idx="46">
                  <c:v>2300</c:v>
                </c:pt>
                <c:pt idx="47">
                  <c:v>2350</c:v>
                </c:pt>
                <c:pt idx="48">
                  <c:v>2400</c:v>
                </c:pt>
              </c:numCache>
            </c:numRef>
          </c:cat>
          <c:val>
            <c:numRef>
              <c:f>'calc.'!$G$14:$G$62</c:f>
              <c:numCache>
                <c:formatCode>0</c:formatCode>
                <c:ptCount val="49"/>
                <c:pt idx="0">
                  <c:v>15</c:v>
                </c:pt>
                <c:pt idx="1">
                  <c:v>15.792665859020696</c:v>
                </c:pt>
                <c:pt idx="2">
                  <c:v>16.659813716241135</c:v>
                </c:pt>
                <c:pt idx="3">
                  <c:v>17.607232271698269</c:v>
                </c:pt>
                <c:pt idx="4">
                  <c:v>18.641246077521622</c:v>
                </c:pt>
                <c:pt idx="5">
                  <c:v>19.768757757878618</c:v>
                </c:pt>
                <c:pt idx="6">
                  <c:v>20.997294087876192</c:v>
                </c:pt>
                <c:pt idx="7">
                  <c:v>22.335056239021185</c:v>
                </c:pt>
                <c:pt idx="8">
                  <c:v>23.790974526656367</c:v>
                </c:pt>
                <c:pt idx="9">
                  <c:v>25.374768024841892</c:v>
                </c:pt>
                <c:pt idx="10">
                  <c:v>27.097009446645263</c:v>
                </c:pt>
                <c:pt idx="11">
                  <c:v>28.969195722952051</c:v>
                </c:pt>
                <c:pt idx="12">
                  <c:v>31.003824750950859</c:v>
                </c:pt>
                <c:pt idx="13">
                  <c:v>33.214478824631705</c:v>
                </c:pt>
                <c:pt idx="14">
                  <c:v>35.615915304243408</c:v>
                </c:pt>
                <c:pt idx="15">
                  <c:v>38.224165129979802</c:v>
                </c:pt>
                <c:pt idx="16">
                  <c:v>41.056639837528706</c:v>
                </c:pt>
                <c:pt idx="17">
                  <c:v>44.132247789873148</c:v>
                </c:pt>
                <c:pt idx="18">
                  <c:v>47.471520401257166</c:v>
                </c:pt>
                <c:pt idx="19">
                  <c:v>51.096749195932333</c:v>
                </c:pt>
                <c:pt idx="20">
                  <c:v>55.032134616629335</c:v>
                </c:pt>
                <c:pt idx="21">
                  <c:v>59.303947576134931</c:v>
                </c:pt>
                <c:pt idx="22">
                  <c:v>63.940704830421744</c:v>
                </c:pt>
                <c:pt idx="23">
                  <c:v>68.97335934404569</c:v>
                </c:pt>
                <c:pt idx="24">
                  <c:v>74.435506918606706</c:v>
                </c:pt>
                <c:pt idx="25">
                  <c:v>80.363610463634558</c:v>
                </c:pt>
                <c:pt idx="26">
                  <c:v>86.797243407033704</c:v>
                </c:pt>
                <c:pt idx="27">
                  <c:v>93.779353869989095</c:v>
                </c:pt>
                <c:pt idx="28">
                  <c:v>101.35655136984941</c:v>
                </c:pt>
                <c:pt idx="29">
                  <c:v>109.57941796489028</c:v>
                </c:pt>
                <c:pt idx="30">
                  <c:v>118.50284591802412</c:v>
                </c:pt>
                <c:pt idx="31">
                  <c:v>128.18640413355277</c:v>
                </c:pt>
                <c:pt idx="32">
                  <c:v>138.69473581313244</c:v>
                </c:pt>
                <c:pt idx="33">
                  <c:v>150.09798998553072</c:v>
                </c:pt>
                <c:pt idx="34">
                  <c:v>162.47228979087811</c:v>
                </c:pt>
                <c:pt idx="35">
                  <c:v>175.9002406454764</c:v>
                </c:pt>
                <c:pt idx="36">
                  <c:v>190.47148167944727</c:v>
                </c:pt>
                <c:pt idx="37">
                  <c:v>206.28328412838147</c:v>
                </c:pt>
                <c:pt idx="38">
                  <c:v>223.4412006735879</c:v>
                </c:pt>
                <c:pt idx="39">
                  <c:v>242.05977006565234</c:v>
                </c:pt>
                <c:pt idx="40">
                  <c:v>262.26328173506857</c:v>
                </c:pt>
                <c:pt idx="41">
                  <c:v>284.18660549414591</c:v>
                </c:pt>
                <c:pt idx="42">
                  <c:v>307.97609186891913</c:v>
                </c:pt>
                <c:pt idx="43">
                  <c:v>333.79054907128699</c:v>
                </c:pt>
                <c:pt idx="44">
                  <c:v>361.80230313321402</c:v>
                </c:pt>
                <c:pt idx="45">
                  <c:v>392.19834827999102</c:v>
                </c:pt>
                <c:pt idx="46">
                  <c:v>425.18159522194242</c:v>
                </c:pt>
                <c:pt idx="47">
                  <c:v>460.97222569762835</c:v>
                </c:pt>
                <c:pt idx="48">
                  <c:v>499.80916231088423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54-4C40-A6EE-3342BA2C4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086480"/>
        <c:axId val="1"/>
      </c:lineChart>
      <c:catAx>
        <c:axId val="206108648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b="1"/>
                </a:pPr>
                <a:r>
                  <a:rPr lang="de-AT" b="1"/>
                  <a:t>Distance from Throat [mm]</a:t>
                </a:r>
              </a:p>
            </c:rich>
          </c:tx>
          <c:layout>
            <c:manualLayout>
              <c:xMode val="edge"/>
              <c:yMode val="edge"/>
              <c:x val="0.35738263410790932"/>
              <c:y val="0.90319145803889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Height [mm]</a:t>
                </a:r>
              </a:p>
            </c:rich>
          </c:tx>
          <c:layout>
            <c:manualLayout>
              <c:xMode val="edge"/>
              <c:yMode val="edge"/>
              <c:x val="1.8033740546829553E-2"/>
              <c:y val="0.4410035305321348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061086480"/>
        <c:crosses val="autoZero"/>
        <c:crossBetween val="between"/>
      </c:valAx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</xdr:colOff>
          <xdr:row>5</xdr:row>
          <xdr:rowOff>0</xdr:rowOff>
        </xdr:from>
        <xdr:to>
          <xdr:col>2</xdr:col>
          <xdr:colOff>472440</xdr:colOff>
          <xdr:row>9</xdr:row>
          <xdr:rowOff>60960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167640</xdr:colOff>
          <xdr:row>2</xdr:row>
          <xdr:rowOff>38100</xdr:rowOff>
        </xdr:from>
        <xdr:to>
          <xdr:col>7</xdr:col>
          <xdr:colOff>769620</xdr:colOff>
          <xdr:row>3</xdr:row>
          <xdr:rowOff>152400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</xdr:colOff>
          <xdr:row>16</xdr:row>
          <xdr:rowOff>30480</xdr:rowOff>
        </xdr:from>
        <xdr:to>
          <xdr:col>11</xdr:col>
          <xdr:colOff>716280</xdr:colOff>
          <xdr:row>25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129540</xdr:rowOff>
    </xdr:from>
    <xdr:to>
      <xdr:col>12</xdr:col>
      <xdr:colOff>22860</xdr:colOff>
      <xdr:row>32</xdr:row>
      <xdr:rowOff>22860</xdr:rowOff>
    </xdr:to>
    <xdr:graphicFrame macro="">
      <xdr:nvGraphicFramePr>
        <xdr:cNvPr id="2059" name="Diagramm 1">
          <a:extLst>
            <a:ext uri="{FF2B5EF4-FFF2-40B4-BE49-F238E27FC236}">
              <a16:creationId xmlns:a16="http://schemas.microsoft.com/office/drawing/2014/main" id="{00000000-0008-0000-0200-00000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ubeclinic.com/USRM_Horn-Guide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10" Type="http://schemas.openxmlformats.org/officeDocument/2006/relationships/comments" Target="../comments2.xml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CA34-9C7C-4DA6-88C4-B355F3CDBCB7}">
  <sheetPr>
    <pageSetUpPr fitToPage="1"/>
  </sheetPr>
  <dimension ref="B1:N33"/>
  <sheetViews>
    <sheetView workbookViewId="0">
      <selection activeCell="B3" sqref="B3:D3"/>
    </sheetView>
  </sheetViews>
  <sheetFormatPr baseColWidth="10" defaultColWidth="11.44140625" defaultRowHeight="13.2" x14ac:dyDescent="0.25"/>
  <cols>
    <col min="1" max="1" width="4.77734375" style="2" customWidth="1"/>
    <col min="2" max="2" width="14.33203125" style="2" customWidth="1"/>
    <col min="3" max="4" width="11.44140625" style="2" customWidth="1"/>
    <col min="5" max="5" width="29" style="2" customWidth="1"/>
    <col min="6" max="6" width="11.44140625" style="3" customWidth="1"/>
    <col min="7" max="7" width="12.5546875" style="3" bestFit="1" customWidth="1"/>
    <col min="8" max="8" width="12.88671875" style="3" customWidth="1"/>
    <col min="9" max="9" width="10.33203125" style="3" customWidth="1"/>
    <col min="10" max="10" width="9.33203125" style="3" customWidth="1"/>
    <col min="11" max="11" width="1.33203125" style="2" customWidth="1"/>
    <col min="12" max="12" width="7.77734375" style="2" hidden="1" customWidth="1"/>
    <col min="13" max="16384" width="11.44140625" style="2"/>
  </cols>
  <sheetData>
    <row r="1" spans="2:14" ht="57" customHeight="1" x14ac:dyDescent="0.25">
      <c r="B1" s="121" t="s">
        <v>119</v>
      </c>
      <c r="C1" s="122"/>
      <c r="D1" s="122"/>
      <c r="E1" s="122"/>
      <c r="F1" s="122"/>
      <c r="G1" s="122"/>
      <c r="H1" s="120" t="s">
        <v>83</v>
      </c>
      <c r="I1" s="120"/>
    </row>
    <row r="3" spans="2:14" ht="17.399999999999999" x14ac:dyDescent="0.3">
      <c r="B3" s="81" t="s">
        <v>27</v>
      </c>
      <c r="C3" s="81"/>
      <c r="D3" s="81"/>
    </row>
    <row r="4" spans="2:14" x14ac:dyDescent="0.25">
      <c r="L4" s="78" t="s">
        <v>81</v>
      </c>
    </row>
    <row r="5" spans="2:14" s="32" customFormat="1" x14ac:dyDescent="0.25">
      <c r="B5" s="44" t="s">
        <v>4</v>
      </c>
      <c r="C5" s="82" t="s">
        <v>46</v>
      </c>
      <c r="D5" s="82"/>
      <c r="E5" s="82"/>
      <c r="F5" s="45" t="s">
        <v>5</v>
      </c>
      <c r="G5" s="46" t="s">
        <v>15</v>
      </c>
      <c r="H5" s="47" t="s">
        <v>24</v>
      </c>
      <c r="I5" s="36"/>
      <c r="J5" s="36"/>
      <c r="L5" s="3" t="s">
        <v>82</v>
      </c>
    </row>
    <row r="6" spans="2:14" x14ac:dyDescent="0.25">
      <c r="B6" s="50"/>
      <c r="C6" s="50"/>
      <c r="D6" s="50"/>
      <c r="E6" s="50"/>
      <c r="F6" s="37"/>
      <c r="G6" s="37"/>
      <c r="H6" s="37"/>
    </row>
    <row r="7" spans="2:14" ht="15.6" x14ac:dyDescent="0.35">
      <c r="B7" s="44" t="s">
        <v>96</v>
      </c>
      <c r="C7" s="111" t="s">
        <v>97</v>
      </c>
      <c r="D7" s="80"/>
      <c r="E7" s="80"/>
      <c r="F7" s="1">
        <v>47</v>
      </c>
      <c r="G7" s="48"/>
      <c r="H7" s="48" t="s">
        <v>11</v>
      </c>
      <c r="K7" s="59">
        <f>2*SIN(PI()/10)</f>
        <v>0.61803398874989479</v>
      </c>
      <c r="N7" s="43"/>
    </row>
    <row r="8" spans="2:14" ht="15.6" x14ac:dyDescent="0.35">
      <c r="B8" s="44" t="s">
        <v>98</v>
      </c>
      <c r="C8" s="80" t="s">
        <v>41</v>
      </c>
      <c r="D8" s="80"/>
      <c r="E8" s="80"/>
      <c r="F8" s="1">
        <v>200</v>
      </c>
      <c r="G8" s="48"/>
      <c r="H8" s="48" t="s">
        <v>39</v>
      </c>
      <c r="N8" s="43"/>
    </row>
    <row r="9" spans="2:14" x14ac:dyDescent="0.25">
      <c r="B9" s="44" t="s">
        <v>37</v>
      </c>
      <c r="C9" s="80" t="s">
        <v>47</v>
      </c>
      <c r="D9" s="80"/>
      <c r="E9" s="80"/>
      <c r="F9" s="1">
        <v>99</v>
      </c>
      <c r="G9" s="48"/>
      <c r="H9" s="48" t="s">
        <v>38</v>
      </c>
      <c r="K9" s="59">
        <f>100*(1-K7)</f>
        <v>38.196601125010524</v>
      </c>
      <c r="N9" s="43"/>
    </row>
    <row r="10" spans="2:14" ht="15.6" x14ac:dyDescent="0.35">
      <c r="B10" s="44" t="s">
        <v>99</v>
      </c>
      <c r="C10" s="80" t="s">
        <v>25</v>
      </c>
      <c r="D10" s="80"/>
      <c r="E10" s="80"/>
      <c r="F10" s="1">
        <v>510</v>
      </c>
      <c r="G10" s="48"/>
      <c r="H10" s="48" t="s">
        <v>68</v>
      </c>
      <c r="N10" s="43"/>
    </row>
    <row r="11" spans="2:14" ht="15.6" x14ac:dyDescent="0.35">
      <c r="B11" s="44" t="s">
        <v>100</v>
      </c>
      <c r="C11" s="80" t="s">
        <v>26</v>
      </c>
      <c r="D11" s="80"/>
      <c r="E11" s="80"/>
      <c r="F11" s="1">
        <v>14.03</v>
      </c>
      <c r="G11" s="48"/>
      <c r="H11" s="48" t="s">
        <v>28</v>
      </c>
      <c r="N11" s="43"/>
    </row>
    <row r="12" spans="2:14" ht="15.6" x14ac:dyDescent="0.35">
      <c r="B12" s="44" t="s">
        <v>101</v>
      </c>
      <c r="C12" s="80" t="s">
        <v>61</v>
      </c>
      <c r="D12" s="80"/>
      <c r="E12" s="80"/>
      <c r="F12" s="1">
        <v>2</v>
      </c>
      <c r="G12" s="48"/>
      <c r="H12" s="48" t="s">
        <v>8</v>
      </c>
      <c r="N12" s="43"/>
    </row>
    <row r="13" spans="2:14" ht="15.6" x14ac:dyDescent="0.35">
      <c r="B13" s="44" t="s">
        <v>102</v>
      </c>
      <c r="C13" s="83" t="s">
        <v>57</v>
      </c>
      <c r="D13" s="83"/>
      <c r="E13" s="83"/>
      <c r="F13" s="1">
        <v>0.28000000000000003</v>
      </c>
      <c r="G13" s="48"/>
      <c r="H13" s="48"/>
      <c r="N13" s="43"/>
    </row>
    <row r="14" spans="2:14" ht="15.6" x14ac:dyDescent="0.35">
      <c r="B14" s="44" t="s">
        <v>103</v>
      </c>
      <c r="C14" s="80" t="s">
        <v>29</v>
      </c>
      <c r="D14" s="80"/>
      <c r="E14" s="80"/>
      <c r="F14" s="1">
        <v>107</v>
      </c>
      <c r="G14" s="48"/>
      <c r="H14" s="48" t="s">
        <v>80</v>
      </c>
      <c r="N14" s="43"/>
    </row>
    <row r="15" spans="2:14" ht="15.6" x14ac:dyDescent="0.35">
      <c r="B15" s="44" t="s">
        <v>104</v>
      </c>
      <c r="C15" s="80" t="s">
        <v>60</v>
      </c>
      <c r="D15" s="80"/>
      <c r="E15" s="80"/>
      <c r="F15" s="1">
        <v>0.28999999999999998</v>
      </c>
      <c r="G15" s="48"/>
      <c r="H15" s="48" t="s">
        <v>30</v>
      </c>
      <c r="N15" s="43"/>
    </row>
    <row r="16" spans="2:14" ht="15.6" x14ac:dyDescent="0.35">
      <c r="B16" s="44" t="s">
        <v>105</v>
      </c>
      <c r="C16" s="80" t="s">
        <v>48</v>
      </c>
      <c r="D16" s="80"/>
      <c r="E16" s="80"/>
      <c r="F16" s="49">
        <v>1.3</v>
      </c>
      <c r="G16" s="48"/>
      <c r="H16" s="48" t="s">
        <v>53</v>
      </c>
      <c r="N16" s="43"/>
    </row>
    <row r="17" spans="2:14" ht="15.6" x14ac:dyDescent="0.35">
      <c r="B17" s="44" t="s">
        <v>106</v>
      </c>
      <c r="C17" s="80" t="s">
        <v>67</v>
      </c>
      <c r="D17" s="80"/>
      <c r="E17" s="80"/>
      <c r="F17" s="1">
        <v>1.03</v>
      </c>
      <c r="G17" s="48"/>
      <c r="H17" s="48"/>
      <c r="I17" s="69"/>
      <c r="J17" s="69"/>
      <c r="K17" s="69"/>
      <c r="L17" s="69"/>
      <c r="N17" s="43"/>
    </row>
    <row r="18" spans="2:14" x14ac:dyDescent="0.25">
      <c r="B18" s="32"/>
    </row>
    <row r="19" spans="2:14" ht="15.6" x14ac:dyDescent="0.35">
      <c r="B19" s="44" t="s">
        <v>107</v>
      </c>
      <c r="C19" s="80" t="s">
        <v>62</v>
      </c>
      <c r="D19" s="80"/>
      <c r="E19" s="80"/>
      <c r="F19" s="57"/>
      <c r="G19" s="52">
        <f>F7*$K$7</f>
        <v>29.047597471245055</v>
      </c>
      <c r="H19" s="48" t="s">
        <v>31</v>
      </c>
    </row>
    <row r="20" spans="2:14" x14ac:dyDescent="0.25">
      <c r="B20" s="32"/>
    </row>
    <row r="21" spans="2:14" ht="15.6" x14ac:dyDescent="0.35">
      <c r="B21" s="44" t="s">
        <v>108</v>
      </c>
      <c r="C21" s="10" t="s">
        <v>32</v>
      </c>
      <c r="D21" s="10"/>
      <c r="E21" s="10"/>
      <c r="F21" s="48"/>
      <c r="G21" s="51">
        <f>(F10/10000)*F12/1000</f>
        <v>1.02E-4</v>
      </c>
      <c r="H21" s="48" t="s">
        <v>51</v>
      </c>
      <c r="I21" s="14">
        <f>G21*1000000</f>
        <v>102</v>
      </c>
      <c r="J21" s="48" t="s">
        <v>59</v>
      </c>
    </row>
    <row r="22" spans="2:14" ht="15.6" x14ac:dyDescent="0.35">
      <c r="B22" s="44" t="s">
        <v>109</v>
      </c>
      <c r="C22" s="79" t="s">
        <v>33</v>
      </c>
      <c r="D22" s="116"/>
      <c r="E22" s="117"/>
      <c r="F22" s="48"/>
      <c r="G22" s="51">
        <f>G21*F11</f>
        <v>1.4310599999999998E-3</v>
      </c>
      <c r="H22" s="48"/>
      <c r="I22" s="57"/>
      <c r="J22" s="48"/>
    </row>
    <row r="23" spans="2:14" ht="15.6" x14ac:dyDescent="0.35">
      <c r="B23" s="44" t="s">
        <v>110</v>
      </c>
      <c r="C23" s="10" t="s">
        <v>79</v>
      </c>
      <c r="D23" s="10"/>
      <c r="E23" s="10"/>
      <c r="F23" s="48"/>
      <c r="G23" s="51">
        <f>1000*G22*F14/1000/F15</f>
        <v>0.52801179310344826</v>
      </c>
      <c r="H23" s="48"/>
      <c r="I23" s="57"/>
      <c r="J23" s="48"/>
    </row>
    <row r="24" spans="2:14" x14ac:dyDescent="0.25">
      <c r="B24" s="54"/>
      <c r="C24" s="50"/>
      <c r="D24" s="50"/>
      <c r="E24" s="50"/>
      <c r="F24" s="37"/>
      <c r="G24" s="56"/>
      <c r="H24" s="37"/>
      <c r="I24" s="58"/>
      <c r="J24" s="37"/>
    </row>
    <row r="25" spans="2:14" ht="15.6" x14ac:dyDescent="0.35">
      <c r="B25" s="44" t="s">
        <v>111</v>
      </c>
      <c r="C25" s="114" t="s">
        <v>35</v>
      </c>
      <c r="D25" s="118"/>
      <c r="E25" s="115"/>
      <c r="F25" s="48"/>
      <c r="G25" s="51">
        <f>(10*F13/PI())*(1+$K$7)*F14/1000/G23/10</f>
        <v>2.9223750675582645E-2</v>
      </c>
      <c r="H25" s="48" t="s">
        <v>51</v>
      </c>
      <c r="I25" s="112">
        <f>G25*1000</f>
        <v>29.223750675582647</v>
      </c>
      <c r="J25" s="48" t="s">
        <v>34</v>
      </c>
    </row>
    <row r="26" spans="2:14" ht="15.6" x14ac:dyDescent="0.35">
      <c r="B26" s="44" t="s">
        <v>112</v>
      </c>
      <c r="C26" s="10" t="s">
        <v>58</v>
      </c>
      <c r="D26" s="10"/>
      <c r="E26" s="10"/>
      <c r="F26" s="48"/>
      <c r="G26" s="51">
        <f>G25*0.9</f>
        <v>2.6301375608024383E-2</v>
      </c>
      <c r="H26" s="48" t="s">
        <v>51</v>
      </c>
      <c r="I26" s="52">
        <f>G26*1000</f>
        <v>26.301375608024383</v>
      </c>
      <c r="J26" s="48" t="s">
        <v>34</v>
      </c>
    </row>
    <row r="27" spans="2:14" x14ac:dyDescent="0.25">
      <c r="B27" s="54"/>
      <c r="C27" s="50"/>
      <c r="D27" s="50"/>
      <c r="E27" s="50"/>
      <c r="F27" s="37"/>
      <c r="G27" s="56"/>
      <c r="H27" s="37"/>
      <c r="I27" s="58"/>
      <c r="J27" s="37"/>
    </row>
    <row r="28" spans="2:14" ht="15.6" x14ac:dyDescent="0.35">
      <c r="B28" s="44" t="s">
        <v>114</v>
      </c>
      <c r="C28" s="10" t="s">
        <v>36</v>
      </c>
      <c r="D28" s="10"/>
      <c r="E28" s="10"/>
      <c r="F28" s="48"/>
      <c r="G28" s="51">
        <f>G23*G26*F7/100/(F17*F16)</f>
        <v>4.8746042965375031E-3</v>
      </c>
      <c r="H28" s="48" t="s">
        <v>50</v>
      </c>
      <c r="I28" s="13">
        <f>G28*1000000</f>
        <v>4874.6042965375027</v>
      </c>
      <c r="J28" s="48" t="s">
        <v>69</v>
      </c>
    </row>
    <row r="29" spans="2:14" ht="15.6" x14ac:dyDescent="0.35">
      <c r="B29" s="44" t="s">
        <v>113</v>
      </c>
      <c r="C29" s="10" t="s">
        <v>52</v>
      </c>
      <c r="D29" s="10"/>
      <c r="E29" s="10"/>
      <c r="F29" s="48"/>
      <c r="G29" s="51">
        <f>G28*1.055</f>
        <v>5.1427075328470658E-3</v>
      </c>
      <c r="H29" s="48" t="s">
        <v>50</v>
      </c>
      <c r="I29" s="55">
        <f>G29*1000000</f>
        <v>5142.7075328470655</v>
      </c>
      <c r="J29" s="48" t="s">
        <v>70</v>
      </c>
    </row>
    <row r="30" spans="2:14" x14ac:dyDescent="0.25">
      <c r="B30" s="54"/>
      <c r="C30" s="50"/>
      <c r="D30" s="50"/>
      <c r="E30" s="50"/>
      <c r="F30" s="37"/>
      <c r="G30" s="56"/>
      <c r="H30" s="37"/>
      <c r="I30" s="58"/>
      <c r="J30" s="37"/>
    </row>
    <row r="31" spans="2:14" ht="15.6" x14ac:dyDescent="0.35">
      <c r="B31" s="44" t="s">
        <v>115</v>
      </c>
      <c r="C31" s="119" t="s">
        <v>118</v>
      </c>
      <c r="D31" s="10"/>
      <c r="E31" s="10"/>
      <c r="F31" s="48"/>
      <c r="G31" s="53">
        <f>100*$K$7*340*'calc.'!O8/(2*PI()*G25)</f>
        <v>600.80668713444697</v>
      </c>
      <c r="H31" s="48" t="s">
        <v>11</v>
      </c>
      <c r="I31" s="52">
        <f>(LOG(G31/G19))/(LOG(2))</f>
        <v>4.3704101222397007</v>
      </c>
      <c r="J31" s="48" t="s">
        <v>42</v>
      </c>
    </row>
    <row r="32" spans="2:14" ht="15.6" x14ac:dyDescent="0.35">
      <c r="B32" s="44" t="s">
        <v>116</v>
      </c>
      <c r="C32" s="10" t="s">
        <v>44</v>
      </c>
      <c r="D32" s="10"/>
      <c r="E32" s="10"/>
      <c r="F32" s="48"/>
      <c r="G32" s="113">
        <f>((1/(0.0173*(100/G19)))^2)/6.18</f>
        <v>45.618369020894335</v>
      </c>
      <c r="H32" s="48" t="s">
        <v>71</v>
      </c>
      <c r="I32" s="53">
        <f>102+10*LOG(G32)</f>
        <v>118.59139754025071</v>
      </c>
      <c r="J32" s="48" t="s">
        <v>40</v>
      </c>
    </row>
    <row r="33" spans="2:10" ht="15.6" x14ac:dyDescent="0.35">
      <c r="B33" s="44" t="s">
        <v>117</v>
      </c>
      <c r="C33" s="10" t="s">
        <v>45</v>
      </c>
      <c r="D33" s="10"/>
      <c r="E33" s="10"/>
      <c r="F33" s="48"/>
      <c r="G33" s="113">
        <f>10^((I33-I32)/10)*G32</f>
        <v>100.23744672545442</v>
      </c>
      <c r="H33" s="48" t="s">
        <v>71</v>
      </c>
      <c r="I33" s="53">
        <f>F9+10*LOG(F8)</f>
        <v>122.01029995663981</v>
      </c>
      <c r="J33" s="48" t="s">
        <v>40</v>
      </c>
    </row>
  </sheetData>
  <sheetProtection algorithmName="SHA-512" hashValue="F+wS1lIe34LB8gWYS9AT3gGV2yX8k5izarIivjtAvujTDaRCk32/CEJXliXbIXbSLe41HTDgemSR4PttBrPhmQ==" saltValue="qvwDSflWRKKeovSxX+P2Dw==" spinCount="100000" sheet="1" selectLockedCells="1"/>
  <mergeCells count="17">
    <mergeCell ref="C25:E25"/>
    <mergeCell ref="C19:E19"/>
    <mergeCell ref="C17:E17"/>
    <mergeCell ref="C16:E16"/>
    <mergeCell ref="C13:E13"/>
    <mergeCell ref="C14:E14"/>
    <mergeCell ref="C15:E15"/>
    <mergeCell ref="C10:E10"/>
    <mergeCell ref="C11:E11"/>
    <mergeCell ref="C12:E12"/>
    <mergeCell ref="C9:E9"/>
    <mergeCell ref="C8:E8"/>
    <mergeCell ref="B1:G1"/>
    <mergeCell ref="H1:I1"/>
    <mergeCell ref="C7:E7"/>
    <mergeCell ref="B3:D3"/>
    <mergeCell ref="C5:E5"/>
  </mergeCells>
  <phoneticPr fontId="3" type="noConversion"/>
  <hyperlinks>
    <hyperlink ref="H1:I1" r:id="rId1" display="USER MANUAL" xr:uid="{8EB976F3-750A-46D9-890A-859A954E63A5}"/>
  </hyperlinks>
  <pageMargins left="0.78740157499999996" right="0.78740157499999996" top="0.984251969" bottom="0.984251969" header="0.4921259845" footer="0.4921259845"/>
  <pageSetup paperSize="9" scale="98" fitToHeight="0" orientation="landscape" r:id="rId2"/>
  <headerFooter alignWithMargins="0">
    <oddHeader>&amp;R&amp;"Arial,Fett"&amp;12TUBECLINIC&amp;"Arial,Standard"&amp;10
Linz / AUSTRIA</oddHeader>
    <oddFooter>&amp;L&amp;F/&amp;A&amp;C&amp;P of &amp;N&amp;R© by Barbara E.Gerhold
2015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A83B-19CD-4B2E-9C77-120987D17649}">
  <sheetPr>
    <pageSetUpPr fitToPage="1"/>
  </sheetPr>
  <dimension ref="B2:P130"/>
  <sheetViews>
    <sheetView tabSelected="1" topLeftCell="B5" zoomScaleNormal="100" workbookViewId="0">
      <selection activeCell="N13" sqref="N13"/>
    </sheetView>
  </sheetViews>
  <sheetFormatPr baseColWidth="10" defaultColWidth="11.44140625" defaultRowHeight="13.2" x14ac:dyDescent="0.25"/>
  <cols>
    <col min="1" max="1" width="11.44140625" style="2" customWidth="1"/>
    <col min="2" max="3" width="11.5546875" style="2" bestFit="1" customWidth="1"/>
    <col min="4" max="4" width="6.109375" style="2" customWidth="1"/>
    <col min="5" max="8" width="11.5546875" style="2" bestFit="1" customWidth="1"/>
    <col min="9" max="9" width="7.109375" style="2" customWidth="1"/>
    <col min="10" max="12" width="11.44140625" style="2" customWidth="1"/>
    <col min="13" max="13" width="11.44140625" style="3" customWidth="1"/>
    <col min="14" max="14" width="12.6640625" style="2" customWidth="1"/>
    <col min="15" max="15" width="12.6640625" style="2" bestFit="1" customWidth="1"/>
    <col min="16" max="16384" width="11.44140625" style="2"/>
  </cols>
  <sheetData>
    <row r="2" spans="2:16" ht="13.8" thickBot="1" x14ac:dyDescent="0.3"/>
    <row r="3" spans="2:16" ht="24" customHeight="1" thickBot="1" x14ac:dyDescent="0.3">
      <c r="J3" s="4" t="s">
        <v>4</v>
      </c>
      <c r="K3" s="103" t="s">
        <v>17</v>
      </c>
      <c r="L3" s="103"/>
      <c r="M3" s="103"/>
      <c r="N3" s="5" t="s">
        <v>5</v>
      </c>
      <c r="O3" s="6" t="s">
        <v>15</v>
      </c>
      <c r="P3" s="7" t="s">
        <v>16</v>
      </c>
    </row>
    <row r="4" spans="2:16" ht="13.5" customHeight="1" x14ac:dyDescent="0.25">
      <c r="J4" s="8"/>
      <c r="K4" s="104"/>
      <c r="L4" s="105"/>
      <c r="M4" s="106"/>
      <c r="N4" s="29"/>
      <c r="O4" s="29"/>
      <c r="P4" s="9"/>
    </row>
    <row r="5" spans="2:16" ht="15.6" x14ac:dyDescent="0.35">
      <c r="H5" s="70" t="s">
        <v>78</v>
      </c>
      <c r="J5" s="108" t="s">
        <v>84</v>
      </c>
      <c r="K5" s="92" t="s">
        <v>72</v>
      </c>
      <c r="L5" s="93"/>
      <c r="M5" s="94"/>
      <c r="N5" s="10"/>
      <c r="O5" s="11">
        <f>$O$8*((COSH($O$10*N12/1000))+$N$11*SINH($O$10*N12/1000))^2</f>
        <v>1.9261247115820269E-2</v>
      </c>
      <c r="P5" s="12" t="s">
        <v>50</v>
      </c>
    </row>
    <row r="6" spans="2:16" ht="15.6" x14ac:dyDescent="0.35">
      <c r="J6" s="108" t="s">
        <v>86</v>
      </c>
      <c r="K6" s="92" t="s">
        <v>73</v>
      </c>
      <c r="L6" s="93"/>
      <c r="M6" s="94"/>
      <c r="N6" s="1">
        <v>350</v>
      </c>
      <c r="O6" s="10"/>
      <c r="P6" s="12" t="s">
        <v>8</v>
      </c>
    </row>
    <row r="7" spans="2:16" ht="15.6" x14ac:dyDescent="0.35">
      <c r="J7" s="108" t="s">
        <v>87</v>
      </c>
      <c r="K7" s="92" t="s">
        <v>6</v>
      </c>
      <c r="L7" s="93"/>
      <c r="M7" s="94"/>
      <c r="N7" s="10"/>
      <c r="O7" s="13">
        <f>1000000*O5/$N$6</f>
        <v>55.032134616629335</v>
      </c>
      <c r="P7" s="12" t="s">
        <v>8</v>
      </c>
    </row>
    <row r="8" spans="2:16" ht="15.6" x14ac:dyDescent="0.35">
      <c r="D8" s="32" t="s">
        <v>77</v>
      </c>
      <c r="J8" s="108" t="s">
        <v>90</v>
      </c>
      <c r="K8" s="92" t="s">
        <v>7</v>
      </c>
      <c r="L8" s="93"/>
      <c r="M8" s="94"/>
      <c r="N8" s="10"/>
      <c r="O8" s="41">
        <f>N6*N9/1000000</f>
        <v>5.2500000000000003E-3</v>
      </c>
      <c r="P8" s="12" t="s">
        <v>50</v>
      </c>
    </row>
    <row r="9" spans="2:16" ht="15.6" x14ac:dyDescent="0.35">
      <c r="J9" s="108" t="s">
        <v>91</v>
      </c>
      <c r="K9" s="92" t="s">
        <v>43</v>
      </c>
      <c r="L9" s="93"/>
      <c r="M9" s="94"/>
      <c r="N9" s="1">
        <v>15</v>
      </c>
      <c r="O9" s="10"/>
      <c r="P9" s="12" t="s">
        <v>8</v>
      </c>
    </row>
    <row r="10" spans="2:16" ht="13.8" thickBot="1" x14ac:dyDescent="0.3">
      <c r="J10" s="62" t="s">
        <v>0</v>
      </c>
      <c r="K10" s="92" t="s">
        <v>74</v>
      </c>
      <c r="L10" s="93"/>
      <c r="M10" s="94"/>
      <c r="N10" s="10"/>
      <c r="O10" s="11">
        <f>4*PI()*N13/N14</f>
        <v>0.81681408993334637</v>
      </c>
      <c r="P10" s="12"/>
    </row>
    <row r="11" spans="2:16" ht="16.2" thickBot="1" x14ac:dyDescent="0.4">
      <c r="B11" s="15" t="s">
        <v>89</v>
      </c>
      <c r="C11" s="16" t="s">
        <v>0</v>
      </c>
      <c r="E11" s="15" t="s">
        <v>13</v>
      </c>
      <c r="F11" s="17" t="s">
        <v>14</v>
      </c>
      <c r="G11" s="16" t="s">
        <v>49</v>
      </c>
      <c r="H11" s="16" t="s">
        <v>18</v>
      </c>
      <c r="J11" s="62" t="s">
        <v>1</v>
      </c>
      <c r="K11" s="92" t="s">
        <v>2</v>
      </c>
      <c r="L11" s="93"/>
      <c r="M11" s="94"/>
      <c r="N11" s="67">
        <f>chamber!K7</f>
        <v>0.61803398874989479</v>
      </c>
      <c r="O11" s="10"/>
      <c r="P11" s="12" t="s">
        <v>19</v>
      </c>
    </row>
    <row r="12" spans="2:16" ht="15.6" x14ac:dyDescent="0.35">
      <c r="B12" s="18">
        <v>5</v>
      </c>
      <c r="C12" s="19">
        <f>4*PI()*B12/$N$14</f>
        <v>0.18479956785822313</v>
      </c>
      <c r="E12" s="20" t="s">
        <v>12</v>
      </c>
      <c r="F12" s="109" t="s">
        <v>85</v>
      </c>
      <c r="G12" s="110" t="s">
        <v>88</v>
      </c>
      <c r="H12" s="21"/>
      <c r="J12" s="62" t="s">
        <v>9</v>
      </c>
      <c r="K12" s="92" t="s">
        <v>10</v>
      </c>
      <c r="L12" s="93"/>
      <c r="M12" s="94"/>
      <c r="N12" s="1">
        <v>1000</v>
      </c>
      <c r="O12" s="10"/>
      <c r="P12" s="12" t="s">
        <v>8</v>
      </c>
    </row>
    <row r="13" spans="2:16" ht="15.6" x14ac:dyDescent="0.35">
      <c r="B13" s="22">
        <f>B12+5</f>
        <v>10</v>
      </c>
      <c r="C13" s="19">
        <f t="shared" ref="C13:C48" si="0">4*PI()*B13/$N$14</f>
        <v>0.36959913571644626</v>
      </c>
      <c r="E13" s="23"/>
      <c r="F13" s="24"/>
      <c r="G13" s="25"/>
      <c r="H13" s="26"/>
      <c r="J13" s="108" t="s">
        <v>92</v>
      </c>
      <c r="K13" s="92" t="s">
        <v>76</v>
      </c>
      <c r="L13" s="93"/>
      <c r="M13" s="94"/>
      <c r="N13" s="1">
        <v>22.1</v>
      </c>
      <c r="O13" s="10"/>
      <c r="P13" s="12" t="s">
        <v>11</v>
      </c>
    </row>
    <row r="14" spans="2:16" ht="13.8" thickBot="1" x14ac:dyDescent="0.3">
      <c r="B14" s="22">
        <f>B13+5</f>
        <v>15</v>
      </c>
      <c r="C14" s="19">
        <f t="shared" si="0"/>
        <v>0.55439870357466936</v>
      </c>
      <c r="E14" s="48">
        <v>0</v>
      </c>
      <c r="F14" s="64">
        <f t="shared" ref="F14:F62" si="1">$O$8*((COSH($O$10*E14/1000))+$N$11*SINH($O$10*E14/1000))^2</f>
        <v>5.2500000000000003E-3</v>
      </c>
      <c r="G14" s="68">
        <f>1000000*F14/$N$6</f>
        <v>15</v>
      </c>
      <c r="H14" s="64">
        <f>G14/$G$14</f>
        <v>1</v>
      </c>
      <c r="J14" s="63" t="s">
        <v>3</v>
      </c>
      <c r="K14" s="96" t="s">
        <v>54</v>
      </c>
      <c r="L14" s="97"/>
      <c r="M14" s="98"/>
      <c r="N14" s="34">
        <v>340</v>
      </c>
      <c r="O14" s="27"/>
      <c r="P14" s="33" t="s">
        <v>23</v>
      </c>
    </row>
    <row r="15" spans="2:16" x14ac:dyDescent="0.25">
      <c r="B15" s="35">
        <f t="shared" ref="B15:B20" si="2">B14+1</f>
        <v>16</v>
      </c>
      <c r="C15" s="19">
        <f t="shared" si="0"/>
        <v>0.59135861714631399</v>
      </c>
      <c r="E15" s="48">
        <f>E14+50</f>
        <v>50</v>
      </c>
      <c r="F15" s="64">
        <f t="shared" si="1"/>
        <v>5.5274330506572432E-3</v>
      </c>
      <c r="G15" s="68">
        <f t="shared" ref="G15:G62" si="3">1000000*F15/$N$6</f>
        <v>15.792665859020696</v>
      </c>
      <c r="H15" s="64">
        <f>G15/$G$14</f>
        <v>1.0528443906013798</v>
      </c>
    </row>
    <row r="16" spans="2:16" x14ac:dyDescent="0.25">
      <c r="B16" s="35">
        <f t="shared" si="2"/>
        <v>17</v>
      </c>
      <c r="C16" s="19">
        <f t="shared" si="0"/>
        <v>0.62831853071795862</v>
      </c>
      <c r="E16" s="48">
        <f t="shared" ref="E16:E62" si="4">E15+50</f>
        <v>100</v>
      </c>
      <c r="F16" s="64">
        <f t="shared" si="1"/>
        <v>5.8309348006843975E-3</v>
      </c>
      <c r="G16" s="68">
        <f t="shared" si="3"/>
        <v>16.659813716241135</v>
      </c>
      <c r="H16" s="64">
        <f t="shared" ref="H16:H62" si="5">G16/$G$14</f>
        <v>1.110654247749409</v>
      </c>
    </row>
    <row r="17" spans="2:16" ht="13.8" thickBot="1" x14ac:dyDescent="0.3">
      <c r="B17" s="35">
        <f t="shared" si="2"/>
        <v>18</v>
      </c>
      <c r="C17" s="19">
        <f t="shared" si="0"/>
        <v>0.66527844428960325</v>
      </c>
      <c r="E17" s="48">
        <f t="shared" si="4"/>
        <v>150</v>
      </c>
      <c r="F17" s="64">
        <f t="shared" si="1"/>
        <v>6.1625312950943948E-3</v>
      </c>
      <c r="G17" s="68">
        <f t="shared" si="3"/>
        <v>17.607232271698269</v>
      </c>
      <c r="H17" s="64">
        <f t="shared" si="5"/>
        <v>1.1738154847798845</v>
      </c>
      <c r="N17" s="65" t="s">
        <v>22</v>
      </c>
      <c r="O17" s="66"/>
    </row>
    <row r="18" spans="2:16" ht="13.8" thickBot="1" x14ac:dyDescent="0.3">
      <c r="B18" s="28">
        <f t="shared" si="2"/>
        <v>19</v>
      </c>
      <c r="C18" s="19">
        <f t="shared" si="0"/>
        <v>0.70223835786124789</v>
      </c>
      <c r="E18" s="48">
        <f t="shared" si="4"/>
        <v>200</v>
      </c>
      <c r="F18" s="64">
        <f t="shared" si="1"/>
        <v>6.5244361271325681E-3</v>
      </c>
      <c r="G18" s="68">
        <f t="shared" si="3"/>
        <v>18.641246077521622</v>
      </c>
      <c r="H18" s="64">
        <f t="shared" si="5"/>
        <v>1.2427497385014414</v>
      </c>
      <c r="N18" s="30" t="s">
        <v>20</v>
      </c>
      <c r="O18" s="31" t="s">
        <v>21</v>
      </c>
    </row>
    <row r="19" spans="2:16" ht="13.8" thickBot="1" x14ac:dyDescent="0.3">
      <c r="B19" s="28">
        <f t="shared" si="2"/>
        <v>20</v>
      </c>
      <c r="C19" s="19">
        <f t="shared" si="0"/>
        <v>0.73919827143289252</v>
      </c>
      <c r="E19" s="48">
        <f t="shared" si="4"/>
        <v>250</v>
      </c>
      <c r="F19" s="64">
        <f t="shared" si="1"/>
        <v>6.919065215257517E-3</v>
      </c>
      <c r="G19" s="68">
        <f t="shared" si="3"/>
        <v>19.768757757878618</v>
      </c>
      <c r="H19" s="64">
        <f t="shared" si="5"/>
        <v>1.3179171838585746</v>
      </c>
    </row>
    <row r="20" spans="2:16" ht="13.8" thickBot="1" x14ac:dyDescent="0.3">
      <c r="B20" s="28">
        <f t="shared" si="2"/>
        <v>21</v>
      </c>
      <c r="C20" s="19">
        <f t="shared" si="0"/>
        <v>0.77615818500453715</v>
      </c>
      <c r="E20" s="48">
        <f t="shared" si="4"/>
        <v>300</v>
      </c>
      <c r="F20" s="64">
        <f t="shared" si="1"/>
        <v>7.3490529307566679E-3</v>
      </c>
      <c r="G20" s="68">
        <f t="shared" si="3"/>
        <v>20.997294087876192</v>
      </c>
      <c r="H20" s="64">
        <f t="shared" si="5"/>
        <v>1.3998196058584127</v>
      </c>
      <c r="N20" s="100" t="s">
        <v>55</v>
      </c>
      <c r="O20" s="101"/>
      <c r="P20" s="102"/>
    </row>
    <row r="21" spans="2:16" x14ac:dyDescent="0.25">
      <c r="B21" s="28">
        <f>B20+0.1</f>
        <v>21.1</v>
      </c>
      <c r="C21" s="19">
        <f t="shared" si="0"/>
        <v>0.77985417636170162</v>
      </c>
      <c r="E21" s="48">
        <f t="shared" si="4"/>
        <v>350</v>
      </c>
      <c r="F21" s="64">
        <f t="shared" si="1"/>
        <v>7.8172696836574154E-3</v>
      </c>
      <c r="G21" s="68">
        <f>1000000*F21/$N$6</f>
        <v>22.335056239021185</v>
      </c>
      <c r="H21" s="64">
        <f t="shared" si="5"/>
        <v>1.489003749268079</v>
      </c>
    </row>
    <row r="22" spans="2:16" ht="15.6" x14ac:dyDescent="0.35">
      <c r="B22" s="28">
        <f t="shared" ref="B22:B39" si="6">B21+0.1</f>
        <v>21.200000000000003</v>
      </c>
      <c r="C22" s="19">
        <f t="shared" si="0"/>
        <v>0.7835501677188661</v>
      </c>
      <c r="E22" s="48">
        <f t="shared" si="4"/>
        <v>400</v>
      </c>
      <c r="F22" s="64">
        <f t="shared" si="1"/>
        <v>8.326841084329727E-3</v>
      </c>
      <c r="G22" s="68">
        <f t="shared" si="3"/>
        <v>23.790974526656367</v>
      </c>
      <c r="H22" s="64">
        <f t="shared" si="5"/>
        <v>1.5860649684437578</v>
      </c>
      <c r="N22" s="39" t="s">
        <v>93</v>
      </c>
      <c r="O22" s="38">
        <f>chamber!G19</f>
        <v>29.047597471245055</v>
      </c>
      <c r="P22" s="40" t="s">
        <v>11</v>
      </c>
    </row>
    <row r="23" spans="2:16" ht="15.6" x14ac:dyDescent="0.35">
      <c r="B23" s="28">
        <f t="shared" si="6"/>
        <v>21.300000000000004</v>
      </c>
      <c r="C23" s="19">
        <f t="shared" si="0"/>
        <v>0.78724615907603057</v>
      </c>
      <c r="E23" s="48">
        <f t="shared" si="4"/>
        <v>450</v>
      </c>
      <c r="F23" s="64">
        <f t="shared" si="1"/>
        <v>8.8811688086946616E-3</v>
      </c>
      <c r="G23" s="68">
        <f t="shared" si="3"/>
        <v>25.374768024841892</v>
      </c>
      <c r="H23" s="64">
        <f t="shared" si="5"/>
        <v>1.691651201656126</v>
      </c>
      <c r="N23" s="39" t="s">
        <v>94</v>
      </c>
      <c r="O23" s="42">
        <f>chamber!G29</f>
        <v>5.1427075328470658E-3</v>
      </c>
      <c r="P23" s="40" t="s">
        <v>50</v>
      </c>
    </row>
    <row r="24" spans="2:16" x14ac:dyDescent="0.25">
      <c r="B24" s="28">
        <f t="shared" si="6"/>
        <v>21.400000000000006</v>
      </c>
      <c r="C24" s="19">
        <f t="shared" si="0"/>
        <v>0.79094215043319527</v>
      </c>
      <c r="E24" s="48">
        <f t="shared" si="4"/>
        <v>500</v>
      </c>
      <c r="F24" s="64">
        <f t="shared" si="1"/>
        <v>9.483953306325843E-3</v>
      </c>
      <c r="G24" s="68">
        <f t="shared" si="3"/>
        <v>27.097009446645263</v>
      </c>
      <c r="H24" s="64">
        <f t="shared" si="5"/>
        <v>1.8064672964430175</v>
      </c>
    </row>
    <row r="25" spans="2:16" x14ac:dyDescent="0.25">
      <c r="B25" s="28">
        <f t="shared" si="6"/>
        <v>21.500000000000007</v>
      </c>
      <c r="C25" s="19">
        <f t="shared" si="0"/>
        <v>0.79463814179035974</v>
      </c>
      <c r="E25" s="48">
        <f t="shared" si="4"/>
        <v>550</v>
      </c>
      <c r="F25" s="64">
        <f t="shared" si="1"/>
        <v>1.0139218503033218E-2</v>
      </c>
      <c r="G25" s="68">
        <f t="shared" si="3"/>
        <v>28.969195722952051</v>
      </c>
      <c r="H25" s="64">
        <f t="shared" si="5"/>
        <v>1.9312797148634702</v>
      </c>
    </row>
    <row r="26" spans="2:16" x14ac:dyDescent="0.25">
      <c r="B26" s="28">
        <f t="shared" si="6"/>
        <v>21.600000000000009</v>
      </c>
      <c r="C26" s="19">
        <f t="shared" si="0"/>
        <v>0.79833413314752422</v>
      </c>
      <c r="E26" s="48">
        <f t="shared" si="4"/>
        <v>600</v>
      </c>
      <c r="F26" s="64">
        <f t="shared" si="1"/>
        <v>1.0851338662832801E-2</v>
      </c>
      <c r="G26" s="68">
        <f t="shared" si="3"/>
        <v>31.003824750950859</v>
      </c>
      <c r="H26" s="64">
        <f t="shared" si="5"/>
        <v>2.0669216500633905</v>
      </c>
      <c r="N26" s="99" t="s">
        <v>56</v>
      </c>
      <c r="O26" s="99"/>
      <c r="P26" s="99"/>
    </row>
    <row r="27" spans="2:16" x14ac:dyDescent="0.25">
      <c r="B27" s="28">
        <f t="shared" si="6"/>
        <v>21.70000000000001</v>
      </c>
      <c r="C27" s="19">
        <f t="shared" si="0"/>
        <v>0.80203012450468869</v>
      </c>
      <c r="E27" s="48">
        <f t="shared" si="4"/>
        <v>650</v>
      </c>
      <c r="F27" s="64">
        <f t="shared" si="1"/>
        <v>1.1625067588621097E-2</v>
      </c>
      <c r="G27" s="68">
        <f t="shared" si="3"/>
        <v>33.214478824631705</v>
      </c>
      <c r="H27" s="64">
        <f t="shared" si="5"/>
        <v>2.2142985883087802</v>
      </c>
      <c r="N27" s="99"/>
      <c r="O27" s="99"/>
      <c r="P27" s="99"/>
    </row>
    <row r="28" spans="2:16" x14ac:dyDescent="0.25">
      <c r="B28" s="28">
        <f t="shared" si="6"/>
        <v>21.800000000000011</v>
      </c>
      <c r="C28" s="19">
        <f t="shared" si="0"/>
        <v>0.80572611586185316</v>
      </c>
      <c r="E28" s="48">
        <f t="shared" si="4"/>
        <v>700</v>
      </c>
      <c r="F28" s="64">
        <f t="shared" si="1"/>
        <v>1.2465570356485193E-2</v>
      </c>
      <c r="G28" s="68">
        <f t="shared" si="3"/>
        <v>35.615915304243408</v>
      </c>
      <c r="H28" s="64">
        <f t="shared" si="5"/>
        <v>2.3743943536162271</v>
      </c>
    </row>
    <row r="29" spans="2:16" ht="12.75" customHeight="1" x14ac:dyDescent="0.25">
      <c r="B29" s="28">
        <f t="shared" si="6"/>
        <v>21.900000000000013</v>
      </c>
      <c r="C29" s="19">
        <f t="shared" si="0"/>
        <v>0.80942210721901764</v>
      </c>
      <c r="E29" s="48">
        <f t="shared" si="4"/>
        <v>750</v>
      </c>
      <c r="F29" s="64">
        <f t="shared" si="1"/>
        <v>1.337845779549293E-2</v>
      </c>
      <c r="G29" s="68">
        <f t="shared" si="3"/>
        <v>38.224165129979802</v>
      </c>
      <c r="H29" s="64">
        <f t="shared" si="5"/>
        <v>2.5482776753319869</v>
      </c>
    </row>
    <row r="30" spans="2:16" x14ac:dyDescent="0.25">
      <c r="B30" s="28">
        <f t="shared" si="6"/>
        <v>22.000000000000014</v>
      </c>
      <c r="C30" s="19">
        <f t="shared" si="0"/>
        <v>0.81311809857618234</v>
      </c>
      <c r="E30" s="48">
        <f t="shared" si="4"/>
        <v>800</v>
      </c>
      <c r="F30" s="64">
        <f t="shared" si="1"/>
        <v>1.4369823943135048E-2</v>
      </c>
      <c r="G30" s="68">
        <f t="shared" si="3"/>
        <v>41.056639837528706</v>
      </c>
      <c r="H30" s="64">
        <f t="shared" si="5"/>
        <v>2.7371093225019139</v>
      </c>
      <c r="J30" s="84" t="s">
        <v>95</v>
      </c>
      <c r="K30" s="91" t="s">
        <v>75</v>
      </c>
      <c r="L30" s="91"/>
      <c r="M30" s="91"/>
      <c r="N30" s="89">
        <f>chamber!K9</f>
        <v>38.196601125010524</v>
      </c>
      <c r="O30" s="87" t="s">
        <v>65</v>
      </c>
      <c r="P30" s="87"/>
    </row>
    <row r="31" spans="2:16" ht="13.8" thickBot="1" x14ac:dyDescent="0.3">
      <c r="B31" s="74">
        <f>B30+0.1</f>
        <v>22.100000000000016</v>
      </c>
      <c r="C31" s="75">
        <f t="shared" si="0"/>
        <v>0.81681408993334681</v>
      </c>
      <c r="E31" s="48">
        <f t="shared" si="4"/>
        <v>850</v>
      </c>
      <c r="F31" s="64">
        <f t="shared" si="1"/>
        <v>1.5446286726455602E-2</v>
      </c>
      <c r="G31" s="68">
        <f t="shared" si="3"/>
        <v>44.132247789873148</v>
      </c>
      <c r="H31" s="64">
        <f t="shared" si="5"/>
        <v>2.9421498526582099</v>
      </c>
      <c r="J31" s="85"/>
      <c r="K31" s="91"/>
      <c r="L31" s="91"/>
      <c r="M31" s="91"/>
      <c r="N31" s="90"/>
      <c r="O31" s="87"/>
      <c r="P31" s="87"/>
    </row>
    <row r="32" spans="2:16" x14ac:dyDescent="0.25">
      <c r="B32" s="28">
        <f t="shared" si="6"/>
        <v>22.200000000000017</v>
      </c>
      <c r="C32" s="73">
        <f t="shared" si="0"/>
        <v>0.82051008129051128</v>
      </c>
      <c r="E32" s="48">
        <f t="shared" si="4"/>
        <v>900</v>
      </c>
      <c r="F32" s="64">
        <f t="shared" si="1"/>
        <v>1.6615032140440009E-2</v>
      </c>
      <c r="G32" s="68">
        <f t="shared" si="3"/>
        <v>47.471520401257166</v>
      </c>
      <c r="H32" s="64">
        <f t="shared" si="5"/>
        <v>3.1647680267504779</v>
      </c>
      <c r="J32" s="85"/>
      <c r="K32" s="91"/>
      <c r="L32" s="91"/>
      <c r="M32" s="91"/>
      <c r="N32" s="95">
        <f>N30*O10</f>
        <v>31.199521986472504</v>
      </c>
      <c r="O32" s="88" t="s">
        <v>66</v>
      </c>
      <c r="P32" s="88"/>
    </row>
    <row r="33" spans="2:16" x14ac:dyDescent="0.25">
      <c r="B33" s="28">
        <f t="shared" si="6"/>
        <v>22.300000000000018</v>
      </c>
      <c r="C33" s="19">
        <f t="shared" si="0"/>
        <v>0.82420607264767576</v>
      </c>
      <c r="E33" s="48">
        <f t="shared" si="4"/>
        <v>950</v>
      </c>
      <c r="F33" s="64">
        <f t="shared" si="1"/>
        <v>1.7883862218576317E-2</v>
      </c>
      <c r="G33" s="68">
        <f t="shared" si="3"/>
        <v>51.096749195932333</v>
      </c>
      <c r="H33" s="64">
        <f t="shared" si="5"/>
        <v>3.4064499463954889</v>
      </c>
      <c r="J33" s="86"/>
      <c r="K33" s="91"/>
      <c r="L33" s="91"/>
      <c r="M33" s="91"/>
      <c r="N33" s="95"/>
      <c r="O33" s="88"/>
      <c r="P33" s="88"/>
    </row>
    <row r="34" spans="2:16" x14ac:dyDescent="0.25">
      <c r="B34" s="28">
        <f t="shared" si="6"/>
        <v>22.40000000000002</v>
      </c>
      <c r="C34" s="19">
        <f t="shared" si="0"/>
        <v>0.82790206400484023</v>
      </c>
      <c r="E34" s="48">
        <f t="shared" si="4"/>
        <v>1000</v>
      </c>
      <c r="F34" s="64">
        <f t="shared" si="1"/>
        <v>1.9261247115820269E-2</v>
      </c>
      <c r="G34" s="68">
        <f t="shared" si="3"/>
        <v>55.032134616629335</v>
      </c>
      <c r="H34" s="64">
        <f t="shared" si="5"/>
        <v>3.6688089744419559</v>
      </c>
    </row>
    <row r="35" spans="2:16" x14ac:dyDescent="0.25">
      <c r="B35" s="28">
        <f>B34+0.1</f>
        <v>22.500000000000021</v>
      </c>
      <c r="C35" s="19">
        <f t="shared" si="0"/>
        <v>0.83159805536200493</v>
      </c>
      <c r="E35" s="48">
        <f t="shared" si="4"/>
        <v>1050</v>
      </c>
      <c r="F35" s="64">
        <f t="shared" si="1"/>
        <v>2.0756381651647227E-2</v>
      </c>
      <c r="G35" s="68">
        <f t="shared" si="3"/>
        <v>59.303947576134931</v>
      </c>
      <c r="H35" s="64">
        <f t="shared" si="5"/>
        <v>3.9535965050756618</v>
      </c>
    </row>
    <row r="36" spans="2:16" x14ac:dyDescent="0.25">
      <c r="B36" s="28">
        <f t="shared" si="6"/>
        <v>22.600000000000023</v>
      </c>
      <c r="C36" s="19">
        <f t="shared" si="0"/>
        <v>0.8352940467191694</v>
      </c>
      <c r="E36" s="48">
        <f t="shared" si="4"/>
        <v>1100</v>
      </c>
      <c r="F36" s="64">
        <f t="shared" si="1"/>
        <v>2.237924669064761E-2</v>
      </c>
      <c r="G36" s="68">
        <f t="shared" si="3"/>
        <v>63.940704830421744</v>
      </c>
      <c r="H36" s="64">
        <f t="shared" si="5"/>
        <v>4.2627136553614493</v>
      </c>
    </row>
    <row r="37" spans="2:16" x14ac:dyDescent="0.25">
      <c r="B37" s="28">
        <f>B36+0.1</f>
        <v>22.700000000000024</v>
      </c>
      <c r="C37" s="19">
        <f t="shared" si="0"/>
        <v>0.83899003807633388</v>
      </c>
      <c r="E37" s="48">
        <f t="shared" si="4"/>
        <v>1150</v>
      </c>
      <c r="F37" s="64">
        <f t="shared" si="1"/>
        <v>2.4140675770415992E-2</v>
      </c>
      <c r="G37" s="68">
        <f t="shared" si="3"/>
        <v>68.97335934404569</v>
      </c>
      <c r="H37" s="64">
        <f t="shared" si="5"/>
        <v>4.5982239562697123</v>
      </c>
    </row>
    <row r="38" spans="2:16" x14ac:dyDescent="0.25">
      <c r="B38" s="28">
        <f t="shared" si="6"/>
        <v>22.800000000000026</v>
      </c>
      <c r="C38" s="19">
        <f t="shared" si="0"/>
        <v>0.84268602943349835</v>
      </c>
      <c r="E38" s="48">
        <f t="shared" si="4"/>
        <v>1200</v>
      </c>
      <c r="F38" s="64">
        <f t="shared" si="1"/>
        <v>2.6052427421512349E-2</v>
      </c>
      <c r="G38" s="68">
        <f t="shared" si="3"/>
        <v>74.435506918606706</v>
      </c>
      <c r="H38" s="64">
        <f t="shared" si="5"/>
        <v>4.9623671279071138</v>
      </c>
    </row>
    <row r="39" spans="2:16" x14ac:dyDescent="0.25">
      <c r="B39" s="28">
        <f t="shared" si="6"/>
        <v>22.900000000000027</v>
      </c>
      <c r="C39" s="19">
        <f t="shared" si="0"/>
        <v>0.84638202079066283</v>
      </c>
      <c r="E39" s="48">
        <f t="shared" si="4"/>
        <v>1250</v>
      </c>
      <c r="F39" s="64">
        <f t="shared" si="1"/>
        <v>2.8127263662272098E-2</v>
      </c>
      <c r="G39" s="72">
        <f t="shared" si="3"/>
        <v>80.363610463634558</v>
      </c>
      <c r="H39" s="71">
        <f t="shared" si="5"/>
        <v>5.3575740309089701</v>
      </c>
    </row>
    <row r="40" spans="2:16" x14ac:dyDescent="0.25">
      <c r="B40" s="28">
        <f>B39+1</f>
        <v>23.900000000000027</v>
      </c>
      <c r="C40" s="19">
        <f t="shared" si="0"/>
        <v>0.88334193436230757</v>
      </c>
      <c r="E40" s="48">
        <f t="shared" si="4"/>
        <v>1300</v>
      </c>
      <c r="F40" s="64">
        <f t="shared" si="1"/>
        <v>3.0379035192461799E-2</v>
      </c>
      <c r="G40" s="68">
        <f t="shared" si="3"/>
        <v>86.797243407033704</v>
      </c>
      <c r="H40" s="64">
        <f t="shared" si="5"/>
        <v>5.7864828938022468</v>
      </c>
    </row>
    <row r="41" spans="2:16" x14ac:dyDescent="0.25">
      <c r="B41" s="28">
        <f>B40+0.1</f>
        <v>24.000000000000028</v>
      </c>
      <c r="C41" s="19">
        <f t="shared" si="0"/>
        <v>0.88703792571947204</v>
      </c>
      <c r="E41" s="48">
        <f t="shared" si="4"/>
        <v>1350</v>
      </c>
      <c r="F41" s="64">
        <f t="shared" si="1"/>
        <v>3.2822773854496182E-2</v>
      </c>
      <c r="G41" s="68">
        <f t="shared" si="3"/>
        <v>93.779353869989095</v>
      </c>
      <c r="H41" s="64">
        <f t="shared" si="5"/>
        <v>6.2519569246659392</v>
      </c>
    </row>
    <row r="42" spans="2:16" x14ac:dyDescent="0.25">
      <c r="B42" s="35">
        <f>B41+1</f>
        <v>25.000000000000028</v>
      </c>
      <c r="C42" s="19">
        <f t="shared" si="0"/>
        <v>0.92399783929111667</v>
      </c>
      <c r="E42" s="48">
        <f t="shared" si="4"/>
        <v>1400</v>
      </c>
      <c r="F42" s="64">
        <f t="shared" si="1"/>
        <v>3.5474792979447292E-2</v>
      </c>
      <c r="G42" s="68">
        <f t="shared" si="3"/>
        <v>101.35655136984941</v>
      </c>
      <c r="H42" s="64">
        <f t="shared" si="5"/>
        <v>6.7571034246566279</v>
      </c>
    </row>
    <row r="43" spans="2:16" x14ac:dyDescent="0.25">
      <c r="B43" s="35">
        <f t="shared" ref="B43:B48" si="7">B42+1</f>
        <v>26.000000000000028</v>
      </c>
      <c r="C43" s="19">
        <f t="shared" si="0"/>
        <v>0.96095775286276131</v>
      </c>
      <c r="E43" s="48">
        <f t="shared" si="4"/>
        <v>1450</v>
      </c>
      <c r="F43" s="64">
        <f t="shared" si="1"/>
        <v>3.8352796287711599E-2</v>
      </c>
      <c r="G43" s="68">
        <f t="shared" si="3"/>
        <v>109.57941796489028</v>
      </c>
      <c r="H43" s="64">
        <f t="shared" si="5"/>
        <v>7.3052945309926853</v>
      </c>
    </row>
    <row r="44" spans="2:16" x14ac:dyDescent="0.25">
      <c r="B44" s="35">
        <f t="shared" si="7"/>
        <v>27.000000000000028</v>
      </c>
      <c r="C44" s="19">
        <f t="shared" si="0"/>
        <v>0.99791766643440605</v>
      </c>
      <c r="E44" s="48">
        <f t="shared" si="4"/>
        <v>1500</v>
      </c>
      <c r="F44" s="64">
        <f t="shared" si="1"/>
        <v>4.1475996071308446E-2</v>
      </c>
      <c r="G44" s="68">
        <f t="shared" si="3"/>
        <v>118.50284591802412</v>
      </c>
      <c r="H44" s="64">
        <f t="shared" si="5"/>
        <v>7.9001897278682751</v>
      </c>
    </row>
    <row r="45" spans="2:16" x14ac:dyDescent="0.25">
      <c r="B45" s="35">
        <f t="shared" si="7"/>
        <v>28.000000000000028</v>
      </c>
      <c r="C45" s="19">
        <f t="shared" si="0"/>
        <v>1.0348775800060506</v>
      </c>
      <c r="E45" s="48">
        <f t="shared" si="4"/>
        <v>1550</v>
      </c>
      <c r="F45" s="64">
        <f t="shared" si="1"/>
        <v>4.4865241446743462E-2</v>
      </c>
      <c r="G45" s="68">
        <f t="shared" si="3"/>
        <v>128.18640413355277</v>
      </c>
      <c r="H45" s="64">
        <f t="shared" si="5"/>
        <v>8.5457602755701849</v>
      </c>
    </row>
    <row r="46" spans="2:16" x14ac:dyDescent="0.25">
      <c r="B46" s="35">
        <f t="shared" si="7"/>
        <v>29.000000000000028</v>
      </c>
      <c r="C46" s="19">
        <f t="shared" si="0"/>
        <v>1.0718374935776951</v>
      </c>
      <c r="E46" s="48">
        <f t="shared" si="4"/>
        <v>1600</v>
      </c>
      <c r="F46" s="64">
        <f t="shared" si="1"/>
        <v>4.8543157534596357E-2</v>
      </c>
      <c r="G46" s="68">
        <f t="shared" si="3"/>
        <v>138.69473581313244</v>
      </c>
      <c r="H46" s="64">
        <f t="shared" si="5"/>
        <v>9.2463157208754954</v>
      </c>
    </row>
    <row r="47" spans="2:16" x14ac:dyDescent="0.25">
      <c r="B47" s="35">
        <f>B46+1</f>
        <v>30.000000000000028</v>
      </c>
      <c r="C47" s="19">
        <f t="shared" si="0"/>
        <v>1.1087974071493398</v>
      </c>
      <c r="E47" s="48">
        <f t="shared" si="4"/>
        <v>1650</v>
      </c>
      <c r="F47" s="64">
        <f t="shared" si="1"/>
        <v>5.2534296494935746E-2</v>
      </c>
      <c r="G47" s="68">
        <f t="shared" si="3"/>
        <v>150.09798998553072</v>
      </c>
      <c r="H47" s="64">
        <f t="shared" si="5"/>
        <v>10.006532665702048</v>
      </c>
    </row>
    <row r="48" spans="2:16" ht="13.8" thickBot="1" x14ac:dyDescent="0.3">
      <c r="B48" s="76">
        <f t="shared" si="7"/>
        <v>31.000000000000028</v>
      </c>
      <c r="C48" s="77">
        <f t="shared" si="0"/>
        <v>1.1457573207209846</v>
      </c>
      <c r="E48" s="48">
        <f t="shared" si="4"/>
        <v>1700</v>
      </c>
      <c r="F48" s="64">
        <f t="shared" si="1"/>
        <v>5.686530142680734E-2</v>
      </c>
      <c r="G48" s="68">
        <f t="shared" si="3"/>
        <v>162.47228979087811</v>
      </c>
      <c r="H48" s="64">
        <f t="shared" si="5"/>
        <v>10.83148598605854</v>
      </c>
    </row>
    <row r="49" spans="5:13" ht="13.8" thickTop="1" x14ac:dyDescent="0.25">
      <c r="E49" s="48">
        <f t="shared" si="4"/>
        <v>1750</v>
      </c>
      <c r="F49" s="64">
        <f t="shared" si="1"/>
        <v>6.1565084225916743E-2</v>
      </c>
      <c r="G49" s="68">
        <f t="shared" si="3"/>
        <v>175.9002406454764</v>
      </c>
      <c r="H49" s="64">
        <f t="shared" si="5"/>
        <v>11.726682709698427</v>
      </c>
    </row>
    <row r="50" spans="5:13" x14ac:dyDescent="0.25">
      <c r="E50" s="48">
        <f t="shared" si="4"/>
        <v>1800</v>
      </c>
      <c r="F50" s="64">
        <f t="shared" si="1"/>
        <v>6.6665018587806532E-2</v>
      </c>
      <c r="G50" s="68">
        <f t="shared" si="3"/>
        <v>190.47148167944727</v>
      </c>
      <c r="H50" s="64">
        <f t="shared" si="5"/>
        <v>12.698098778629818</v>
      </c>
    </row>
    <row r="51" spans="5:13" x14ac:dyDescent="0.25">
      <c r="E51" s="48">
        <f t="shared" si="4"/>
        <v>1850</v>
      </c>
      <c r="F51" s="64">
        <f t="shared" si="1"/>
        <v>7.2199149444933511E-2</v>
      </c>
      <c r="G51" s="68">
        <f t="shared" si="3"/>
        <v>206.28328412838147</v>
      </c>
      <c r="H51" s="64">
        <f t="shared" si="5"/>
        <v>13.752218941892098</v>
      </c>
    </row>
    <row r="52" spans="5:13" x14ac:dyDescent="0.25">
      <c r="E52" s="48">
        <f t="shared" si="4"/>
        <v>1900</v>
      </c>
      <c r="F52" s="64">
        <f t="shared" si="1"/>
        <v>7.8204420235755773E-2</v>
      </c>
      <c r="G52" s="68">
        <f t="shared" si="3"/>
        <v>223.4412006735879</v>
      </c>
      <c r="H52" s="64">
        <f t="shared" si="5"/>
        <v>14.89608004490586</v>
      </c>
    </row>
    <row r="53" spans="5:13" x14ac:dyDescent="0.25">
      <c r="E53" s="48">
        <f t="shared" si="4"/>
        <v>1950</v>
      </c>
      <c r="F53" s="64">
        <f t="shared" si="1"/>
        <v>8.4720919522978319E-2</v>
      </c>
      <c r="G53" s="68">
        <f t="shared" si="3"/>
        <v>242.05977006565234</v>
      </c>
      <c r="H53" s="64">
        <f t="shared" si="5"/>
        <v>16.137318004376823</v>
      </c>
    </row>
    <row r="54" spans="5:13" x14ac:dyDescent="0.25">
      <c r="E54" s="48">
        <f t="shared" si="4"/>
        <v>2000</v>
      </c>
      <c r="F54" s="64">
        <f t="shared" si="1"/>
        <v>9.1792148607274013E-2</v>
      </c>
      <c r="G54" s="68">
        <f t="shared" si="3"/>
        <v>262.26328173506857</v>
      </c>
      <c r="H54" s="64">
        <f t="shared" si="5"/>
        <v>17.484218782337905</v>
      </c>
    </row>
    <row r="55" spans="5:13" x14ac:dyDescent="0.25">
      <c r="E55" s="48">
        <f t="shared" si="4"/>
        <v>2050</v>
      </c>
      <c r="F55" s="64">
        <f t="shared" si="1"/>
        <v>9.9465311922951077E-2</v>
      </c>
      <c r="G55" s="68">
        <f t="shared" si="3"/>
        <v>284.18660549414591</v>
      </c>
      <c r="H55" s="64">
        <f t="shared" si="5"/>
        <v>18.945773699609727</v>
      </c>
    </row>
    <row r="56" spans="5:13" x14ac:dyDescent="0.25">
      <c r="E56" s="48">
        <f t="shared" si="4"/>
        <v>2100</v>
      </c>
      <c r="F56" s="64">
        <f t="shared" si="1"/>
        <v>0.1077916321541217</v>
      </c>
      <c r="G56" s="68">
        <f t="shared" si="3"/>
        <v>307.97609186891913</v>
      </c>
      <c r="H56" s="64">
        <f t="shared" si="5"/>
        <v>20.531739457927941</v>
      </c>
    </row>
    <row r="57" spans="5:13" x14ac:dyDescent="0.25">
      <c r="E57" s="48">
        <f t="shared" si="4"/>
        <v>2150</v>
      </c>
      <c r="F57" s="64">
        <f t="shared" si="1"/>
        <v>0.11682669217495044</v>
      </c>
      <c r="G57" s="68">
        <f t="shared" si="3"/>
        <v>333.79054907128699</v>
      </c>
      <c r="H57" s="64">
        <f t="shared" si="5"/>
        <v>22.252703271419133</v>
      </c>
    </row>
    <row r="58" spans="5:13" x14ac:dyDescent="0.25">
      <c r="E58" s="48">
        <f t="shared" si="4"/>
        <v>2200</v>
      </c>
      <c r="F58" s="64">
        <f t="shared" si="1"/>
        <v>0.12663080609662491</v>
      </c>
      <c r="G58" s="68">
        <f t="shared" si="3"/>
        <v>361.80230313321402</v>
      </c>
      <c r="H58" s="64">
        <f t="shared" si="5"/>
        <v>24.120153542214268</v>
      </c>
    </row>
    <row r="59" spans="5:13" x14ac:dyDescent="0.25">
      <c r="E59" s="48">
        <f t="shared" si="4"/>
        <v>2250</v>
      </c>
      <c r="F59" s="64">
        <f t="shared" si="1"/>
        <v>0.13726942189799685</v>
      </c>
      <c r="G59" s="72">
        <f t="shared" si="3"/>
        <v>392.19834827999102</v>
      </c>
      <c r="H59" s="71">
        <f t="shared" si="5"/>
        <v>26.146556551999403</v>
      </c>
    </row>
    <row r="60" spans="5:13" x14ac:dyDescent="0.25">
      <c r="E60" s="48">
        <f t="shared" si="4"/>
        <v>2300</v>
      </c>
      <c r="F60" s="64">
        <f t="shared" si="1"/>
        <v>0.14881355832767984</v>
      </c>
      <c r="G60" s="68">
        <f t="shared" si="3"/>
        <v>425.18159522194242</v>
      </c>
      <c r="H60" s="64">
        <f t="shared" si="5"/>
        <v>28.345439681462828</v>
      </c>
    </row>
    <row r="61" spans="5:13" x14ac:dyDescent="0.25">
      <c r="E61" s="48">
        <f t="shared" si="4"/>
        <v>2350</v>
      </c>
      <c r="F61" s="64">
        <f t="shared" si="1"/>
        <v>0.16134027899416994</v>
      </c>
      <c r="G61" s="68">
        <f t="shared" si="3"/>
        <v>460.97222569762835</v>
      </c>
      <c r="H61" s="64">
        <f t="shared" si="5"/>
        <v>30.731481713175224</v>
      </c>
    </row>
    <row r="62" spans="5:13" x14ac:dyDescent="0.25">
      <c r="E62" s="48">
        <f t="shared" si="4"/>
        <v>2400</v>
      </c>
      <c r="F62" s="64">
        <f t="shared" si="1"/>
        <v>0.17493320680880947</v>
      </c>
      <c r="G62" s="68">
        <f t="shared" si="3"/>
        <v>499.80916231088423</v>
      </c>
      <c r="H62" s="64">
        <f t="shared" si="5"/>
        <v>33.320610820725612</v>
      </c>
    </row>
    <row r="63" spans="5:13" x14ac:dyDescent="0.25">
      <c r="H63" s="3"/>
      <c r="M63" s="2"/>
    </row>
    <row r="64" spans="5:13" x14ac:dyDescent="0.25">
      <c r="H64" s="3"/>
      <c r="M64" s="2"/>
    </row>
    <row r="65" spans="8:13" x14ac:dyDescent="0.25">
      <c r="M65" s="2"/>
    </row>
    <row r="66" spans="8:13" x14ac:dyDescent="0.25">
      <c r="M66" s="2"/>
    </row>
    <row r="67" spans="8:13" x14ac:dyDescent="0.25">
      <c r="M67" s="2"/>
    </row>
    <row r="68" spans="8:13" x14ac:dyDescent="0.25">
      <c r="M68" s="2"/>
    </row>
    <row r="69" spans="8:13" x14ac:dyDescent="0.25">
      <c r="H69" s="3"/>
      <c r="M69" s="2"/>
    </row>
    <row r="70" spans="8:13" x14ac:dyDescent="0.25">
      <c r="H70" s="3"/>
      <c r="M70" s="2"/>
    </row>
    <row r="71" spans="8:13" x14ac:dyDescent="0.25">
      <c r="H71" s="3"/>
      <c r="M71" s="2"/>
    </row>
    <row r="72" spans="8:13" x14ac:dyDescent="0.25">
      <c r="H72" s="3"/>
      <c r="M72" s="2"/>
    </row>
    <row r="73" spans="8:13" x14ac:dyDescent="0.25">
      <c r="H73" s="3"/>
      <c r="M73" s="2"/>
    </row>
    <row r="74" spans="8:13" x14ac:dyDescent="0.25">
      <c r="H74" s="3"/>
      <c r="M74" s="2"/>
    </row>
    <row r="75" spans="8:13" x14ac:dyDescent="0.25">
      <c r="H75" s="3"/>
      <c r="M75" s="2"/>
    </row>
    <row r="76" spans="8:13" x14ac:dyDescent="0.25">
      <c r="H76" s="3"/>
      <c r="M76" s="2"/>
    </row>
    <row r="77" spans="8:13" x14ac:dyDescent="0.25">
      <c r="H77" s="3"/>
      <c r="M77" s="2"/>
    </row>
    <row r="78" spans="8:13" x14ac:dyDescent="0.25">
      <c r="H78" s="3"/>
      <c r="M78" s="2"/>
    </row>
    <row r="79" spans="8:13" x14ac:dyDescent="0.25">
      <c r="H79" s="3"/>
      <c r="M79" s="2"/>
    </row>
    <row r="80" spans="8:13" x14ac:dyDescent="0.25">
      <c r="H80" s="3"/>
      <c r="M80" s="2"/>
    </row>
    <row r="81" spans="8:13" x14ac:dyDescent="0.25">
      <c r="H81" s="3"/>
      <c r="M81" s="2"/>
    </row>
    <row r="82" spans="8:13" x14ac:dyDescent="0.25">
      <c r="H82" s="3"/>
      <c r="M82" s="2"/>
    </row>
    <row r="83" spans="8:13" x14ac:dyDescent="0.25">
      <c r="H83" s="3"/>
      <c r="M83" s="2"/>
    </row>
    <row r="84" spans="8:13" x14ac:dyDescent="0.25">
      <c r="H84" s="3"/>
      <c r="M84" s="2"/>
    </row>
    <row r="85" spans="8:13" x14ac:dyDescent="0.25">
      <c r="H85" s="3"/>
      <c r="M85" s="2"/>
    </row>
    <row r="86" spans="8:13" x14ac:dyDescent="0.25">
      <c r="H86" s="3"/>
      <c r="M86" s="2"/>
    </row>
    <row r="87" spans="8:13" x14ac:dyDescent="0.25">
      <c r="H87" s="3"/>
      <c r="M87" s="2"/>
    </row>
    <row r="88" spans="8:13" x14ac:dyDescent="0.25">
      <c r="H88" s="3"/>
      <c r="M88" s="2"/>
    </row>
    <row r="89" spans="8:13" x14ac:dyDescent="0.25">
      <c r="H89" s="3"/>
      <c r="M89" s="2"/>
    </row>
    <row r="90" spans="8:13" x14ac:dyDescent="0.25">
      <c r="H90" s="3"/>
      <c r="M90" s="2"/>
    </row>
    <row r="91" spans="8:13" x14ac:dyDescent="0.25">
      <c r="H91" s="3"/>
      <c r="M91" s="2"/>
    </row>
    <row r="92" spans="8:13" x14ac:dyDescent="0.25">
      <c r="H92" s="3"/>
      <c r="M92" s="2"/>
    </row>
    <row r="93" spans="8:13" x14ac:dyDescent="0.25">
      <c r="H93" s="3"/>
      <c r="M93" s="2"/>
    </row>
    <row r="94" spans="8:13" x14ac:dyDescent="0.25">
      <c r="H94" s="3"/>
      <c r="M94" s="2"/>
    </row>
    <row r="95" spans="8:13" x14ac:dyDescent="0.25">
      <c r="H95" s="3"/>
      <c r="M95" s="2"/>
    </row>
    <row r="96" spans="8:13" x14ac:dyDescent="0.25">
      <c r="H96" s="3"/>
      <c r="M96" s="2"/>
    </row>
    <row r="97" spans="8:13" x14ac:dyDescent="0.25">
      <c r="H97" s="3"/>
      <c r="M97" s="2"/>
    </row>
    <row r="98" spans="8:13" x14ac:dyDescent="0.25">
      <c r="H98" s="3"/>
      <c r="M98" s="2"/>
    </row>
    <row r="99" spans="8:13" x14ac:dyDescent="0.25">
      <c r="H99" s="3"/>
      <c r="M99" s="2"/>
    </row>
    <row r="100" spans="8:13" x14ac:dyDescent="0.25">
      <c r="H100" s="3"/>
      <c r="M100" s="2"/>
    </row>
    <row r="101" spans="8:13" x14ac:dyDescent="0.25">
      <c r="H101" s="3"/>
      <c r="M101" s="2"/>
    </row>
    <row r="102" spans="8:13" x14ac:dyDescent="0.25">
      <c r="H102" s="3"/>
      <c r="M102" s="2"/>
    </row>
    <row r="103" spans="8:13" x14ac:dyDescent="0.25">
      <c r="H103" s="3"/>
      <c r="M103" s="2"/>
    </row>
    <row r="104" spans="8:13" x14ac:dyDescent="0.25">
      <c r="H104" s="3"/>
      <c r="M104" s="2"/>
    </row>
    <row r="105" spans="8:13" x14ac:dyDescent="0.25">
      <c r="H105" s="3"/>
      <c r="M105" s="2"/>
    </row>
    <row r="106" spans="8:13" x14ac:dyDescent="0.25">
      <c r="H106" s="3"/>
      <c r="M106" s="2"/>
    </row>
    <row r="107" spans="8:13" x14ac:dyDescent="0.25">
      <c r="H107" s="3"/>
      <c r="M107" s="2"/>
    </row>
    <row r="108" spans="8:13" x14ac:dyDescent="0.25">
      <c r="H108" s="3"/>
      <c r="M108" s="2"/>
    </row>
    <row r="109" spans="8:13" x14ac:dyDescent="0.25">
      <c r="H109" s="3"/>
      <c r="M109" s="2"/>
    </row>
    <row r="110" spans="8:13" x14ac:dyDescent="0.25">
      <c r="H110" s="3"/>
      <c r="M110" s="2"/>
    </row>
    <row r="111" spans="8:13" x14ac:dyDescent="0.25">
      <c r="H111" s="3"/>
      <c r="M111" s="2"/>
    </row>
    <row r="112" spans="8:13" x14ac:dyDescent="0.25">
      <c r="H112" s="3"/>
      <c r="M112" s="2"/>
    </row>
    <row r="113" spans="8:13" x14ac:dyDescent="0.25">
      <c r="H113" s="3"/>
      <c r="M113" s="2"/>
    </row>
    <row r="114" spans="8:13" x14ac:dyDescent="0.25">
      <c r="H114" s="3"/>
      <c r="M114" s="2"/>
    </row>
    <row r="115" spans="8:13" x14ac:dyDescent="0.25">
      <c r="H115" s="3"/>
      <c r="M115" s="2"/>
    </row>
    <row r="116" spans="8:13" x14ac:dyDescent="0.25">
      <c r="H116" s="3"/>
      <c r="M116" s="2"/>
    </row>
    <row r="117" spans="8:13" x14ac:dyDescent="0.25">
      <c r="H117" s="3"/>
      <c r="M117" s="2"/>
    </row>
    <row r="118" spans="8:13" x14ac:dyDescent="0.25">
      <c r="H118" s="3"/>
      <c r="M118" s="2"/>
    </row>
    <row r="119" spans="8:13" x14ac:dyDescent="0.25">
      <c r="H119" s="3"/>
      <c r="M119" s="2"/>
    </row>
    <row r="120" spans="8:13" x14ac:dyDescent="0.25">
      <c r="H120" s="3"/>
      <c r="M120" s="2"/>
    </row>
    <row r="121" spans="8:13" x14ac:dyDescent="0.25">
      <c r="H121" s="3"/>
      <c r="M121" s="2"/>
    </row>
    <row r="122" spans="8:13" x14ac:dyDescent="0.25">
      <c r="H122" s="3"/>
      <c r="M122" s="2"/>
    </row>
    <row r="123" spans="8:13" x14ac:dyDescent="0.25">
      <c r="H123" s="3"/>
      <c r="M123" s="2"/>
    </row>
    <row r="124" spans="8:13" x14ac:dyDescent="0.25">
      <c r="H124" s="3"/>
      <c r="M124" s="2"/>
    </row>
    <row r="125" spans="8:13" x14ac:dyDescent="0.25">
      <c r="H125" s="3"/>
      <c r="M125" s="2"/>
    </row>
    <row r="126" spans="8:13" x14ac:dyDescent="0.25">
      <c r="H126" s="3"/>
      <c r="M126" s="2"/>
    </row>
    <row r="127" spans="8:13" x14ac:dyDescent="0.25">
      <c r="H127" s="3"/>
      <c r="M127" s="2"/>
    </row>
    <row r="128" spans="8:13" x14ac:dyDescent="0.25">
      <c r="H128" s="3"/>
      <c r="M128" s="2"/>
    </row>
    <row r="129" spans="8:13" x14ac:dyDescent="0.25">
      <c r="H129" s="3"/>
      <c r="M129" s="2"/>
    </row>
    <row r="130" spans="8:13" x14ac:dyDescent="0.25">
      <c r="H130" s="3"/>
      <c r="M130" s="2"/>
    </row>
  </sheetData>
  <sheetProtection algorithmName="SHA-512" hashValue="FEgCOIG0Rs9dCjQ8JuWyQGQ/K84eb2KP44ofWNjRUWWxUu8s4DhKJsdRQ/2cSfyaYfgowuAVKfOvxbmLC3LHEQ==" saltValue="0pJ3Q9vaw/N4zSd2HvbCvg==" spinCount="100000" sheet="1" selectLockedCells="1"/>
  <mergeCells count="20">
    <mergeCell ref="K7:M7"/>
    <mergeCell ref="K8:M8"/>
    <mergeCell ref="K9:M9"/>
    <mergeCell ref="K10:M10"/>
    <mergeCell ref="K3:M3"/>
    <mergeCell ref="K4:M4"/>
    <mergeCell ref="K5:M5"/>
    <mergeCell ref="K6:M6"/>
    <mergeCell ref="K11:M11"/>
    <mergeCell ref="N32:N33"/>
    <mergeCell ref="K12:M12"/>
    <mergeCell ref="K13:M13"/>
    <mergeCell ref="K14:M14"/>
    <mergeCell ref="N26:P27"/>
    <mergeCell ref="N20:P20"/>
    <mergeCell ref="J30:J33"/>
    <mergeCell ref="O30:P31"/>
    <mergeCell ref="O32:P33"/>
    <mergeCell ref="N30:N31"/>
    <mergeCell ref="K30:M33"/>
  </mergeCells>
  <phoneticPr fontId="3" type="noConversion"/>
  <pageMargins left="0.78740157499999996" right="0.78740157499999996" top="0.984251969" bottom="0.984251969" header="0.4921259845" footer="0.4921259845"/>
  <pageSetup paperSize="9" scale="74" fitToHeight="0" orientation="landscape" verticalDpi="0" r:id="rId1"/>
  <headerFooter alignWithMargins="0">
    <oddHeader>&amp;R&amp;"Arial,Fett"&amp;12TUBECLINIC&amp;"Arial,Standard"&amp;10
Linz / AUSTRIA</oddHeader>
    <oddFooter>&amp;L&amp;F/&amp;A&amp;C&amp;P of &amp;N&amp;R© by Barbara E. Gerhold
2015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1</xdr:col>
                <xdr:colOff>175260</xdr:colOff>
                <xdr:row>5</xdr:row>
                <xdr:rowOff>0</xdr:rowOff>
              </from>
              <to>
                <xdr:col>2</xdr:col>
                <xdr:colOff>472440</xdr:colOff>
                <xdr:row>9</xdr:row>
                <xdr:rowOff>60960</xdr:rowOff>
              </to>
            </anchor>
          </objectPr>
        </oleObject>
      </mc:Choice>
      <mc:Fallback>
        <oleObject progId="Equation.3" shapeId="1026" r:id="rId4"/>
      </mc:Fallback>
    </mc:AlternateContent>
    <mc:AlternateContent xmlns:mc="http://schemas.openxmlformats.org/markup-compatibility/2006">
      <mc:Choice Requires="x14">
        <oleObject progId="Equation.3" shapeId="1028" r:id="rId6">
          <objectPr defaultSize="0" autoPict="0" r:id="rId7">
            <anchor moveWithCells="1" sizeWithCells="1">
              <from>
                <xdr:col>1</xdr:col>
                <xdr:colOff>167640</xdr:colOff>
                <xdr:row>2</xdr:row>
                <xdr:rowOff>38100</xdr:rowOff>
              </from>
              <to>
                <xdr:col>7</xdr:col>
                <xdr:colOff>769620</xdr:colOff>
                <xdr:row>3</xdr:row>
                <xdr:rowOff>152400</xdr:rowOff>
              </to>
            </anchor>
          </objectPr>
        </oleObject>
      </mc:Choice>
      <mc:Fallback>
        <oleObject progId="Equation.3" shapeId="1028" r:id="rId6"/>
      </mc:Fallback>
    </mc:AlternateContent>
    <mc:AlternateContent xmlns:mc="http://schemas.openxmlformats.org/markup-compatibility/2006">
      <mc:Choice Requires="x14">
        <oleObject progId="Equation.3" shapeId="1030" r:id="rId8">
          <objectPr defaultSize="0" autoPict="0" r:id="rId9">
            <anchor moveWithCells="1" sizeWithCells="1">
              <from>
                <xdr:col>9</xdr:col>
                <xdr:colOff>22860</xdr:colOff>
                <xdr:row>16</xdr:row>
                <xdr:rowOff>30480</xdr:rowOff>
              </from>
              <to>
                <xdr:col>11</xdr:col>
                <xdr:colOff>716280</xdr:colOff>
                <xdr:row>25</xdr:row>
                <xdr:rowOff>76200</xdr:rowOff>
              </to>
            </anchor>
          </objectPr>
        </oleObject>
      </mc:Choice>
      <mc:Fallback>
        <oleObject progId="Equation.3" shapeId="1030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D681-D4E0-4A7F-85D6-02E3B124A67B}">
  <sheetPr>
    <pageSetUpPr fitToPage="1"/>
  </sheetPr>
  <dimension ref="B2:N3"/>
  <sheetViews>
    <sheetView workbookViewId="0">
      <selection activeCell="N13" sqref="N13"/>
    </sheetView>
  </sheetViews>
  <sheetFormatPr baseColWidth="10" defaultRowHeight="13.2" x14ac:dyDescent="0.25"/>
  <sheetData>
    <row r="2" spans="2:14" ht="16.2" thickBot="1" x14ac:dyDescent="0.35">
      <c r="B2" s="107" t="s">
        <v>64</v>
      </c>
      <c r="C2" s="107"/>
      <c r="D2" s="107"/>
      <c r="E2" s="107"/>
      <c r="F2" s="61">
        <f>'calc.'!N6</f>
        <v>350</v>
      </c>
      <c r="G2" s="60" t="s">
        <v>63</v>
      </c>
      <c r="M2" s="65" t="s">
        <v>22</v>
      </c>
      <c r="N2" s="66"/>
    </row>
    <row r="3" spans="2:14" ht="13.8" thickBot="1" x14ac:dyDescent="0.3">
      <c r="M3" s="30" t="s">
        <v>20</v>
      </c>
      <c r="N3" s="31" t="s">
        <v>21</v>
      </c>
    </row>
  </sheetData>
  <sheetProtection algorithmName="SHA-512" hashValue="neRQpIlFL5yJhcmQl9ElVor1NOn6FwBjwsP7dA6sLvtc6+MZnlEuKHd0jxNpN/XKibk7Q+/aI7Cqk/Cwy9RT9w==" saltValue="Dq3qFw7QdSiusNoAB1h2OA==" spinCount="100000" sheet="1" selectLockedCells="1"/>
  <mergeCells count="1">
    <mergeCell ref="B2:E2"/>
  </mergeCells>
  <phoneticPr fontId="3" type="noConversion"/>
  <pageMargins left="0.78740157499999996" right="0.78740157499999996" top="0.984251969" bottom="0.984251969" header="0.4921259845" footer="0.4921259845"/>
  <pageSetup paperSize="9" scale="88" orientation="landscape" verticalDpi="0" r:id="rId1"/>
  <headerFooter alignWithMargins="0">
    <oddHeader>&amp;R&amp;"Arial,Fett"&amp;12TUBECLINIC&amp;"Arial,Standard"&amp;10
Linz / AUSTRIA</oddHeader>
    <oddFooter>&amp;L&amp;F/&amp;A&amp;C&amp;P of &amp;N&amp;R© by Barbara E. Gerhold
2015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chamber</vt:lpstr>
      <vt:lpstr>calc.</vt:lpstr>
      <vt:lpstr>diagram</vt:lpstr>
      <vt:lpstr>calc.!Druckbereich</vt:lpstr>
      <vt:lpstr>chamber!Druckbereich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Barbara Gerhold</cp:lastModifiedBy>
  <cp:lastPrinted>2015-03-19T16:46:54Z</cp:lastPrinted>
  <dcterms:created xsi:type="dcterms:W3CDTF">2014-07-22T14:09:54Z</dcterms:created>
  <dcterms:modified xsi:type="dcterms:W3CDTF">2026-07-22T11:40:08Z</dcterms:modified>
</cp:coreProperties>
</file>