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arbara\Desktop\ARCHIV\EXCEL\AUDIO\"/>
    </mc:Choice>
  </mc:AlternateContent>
  <xr:revisionPtr revIDLastSave="0" documentId="13_ncr:1_{620783BC-CB88-4029-BDAA-9FCEC69EC943}" xr6:coauthVersionLast="47" xr6:coauthVersionMax="47" xr10:uidLastSave="{00000000-0000-0000-0000-000000000000}"/>
  <bookViews>
    <workbookView xWindow="0" yWindow="252" windowWidth="22044" windowHeight="12564" activeTab="3" xr2:uid="{00000000-000D-0000-FFFF-FFFF00000000}"/>
  </bookViews>
  <sheets>
    <sheet name="Iout" sheetId="4" r:id="rId1"/>
    <sheet name="Uout" sheetId="3" r:id="rId2"/>
    <sheet name="ESS" sheetId="1" r:id="rId3"/>
    <sheet name="ROHM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4" l="1"/>
  <c r="E20" i="4" s="1"/>
  <c r="E21" i="4" s="1"/>
  <c r="E15" i="4"/>
  <c r="F10" i="4"/>
  <c r="F12" i="4"/>
  <c r="D11" i="4"/>
  <c r="D18" i="4" s="1"/>
  <c r="D10" i="4"/>
  <c r="D12" i="4" s="1"/>
  <c r="L9" i="4"/>
  <c r="AC1" i="4"/>
  <c r="F13" i="3"/>
  <c r="E17" i="3"/>
  <c r="D10" i="3"/>
  <c r="D11" i="3" s="1"/>
  <c r="D13" i="3" s="1"/>
  <c r="N11" i="3"/>
  <c r="K11" i="3"/>
  <c r="O11" i="3"/>
  <c r="L11" i="3"/>
  <c r="AC1" i="3"/>
  <c r="E21" i="3"/>
  <c r="D21" i="3"/>
  <c r="E20" i="3"/>
  <c r="E22" i="3" s="1"/>
  <c r="E23" i="3" s="1"/>
  <c r="D20" i="3"/>
  <c r="D22" i="3" s="1"/>
  <c r="D23" i="3" s="1"/>
  <c r="F14" i="3"/>
  <c r="O12" i="1"/>
  <c r="P12" i="1" s="1"/>
  <c r="D11" i="2"/>
  <c r="D10" i="2"/>
  <c r="E20" i="2"/>
  <c r="D13" i="2"/>
  <c r="D14" i="2" s="1"/>
  <c r="D9" i="2"/>
  <c r="E10" i="2"/>
  <c r="D8" i="2"/>
  <c r="L10" i="2"/>
  <c r="M10" i="2" s="1"/>
  <c r="J10" i="2"/>
  <c r="AC1" i="2"/>
  <c r="D20" i="2" s="1"/>
  <c r="D21" i="2" s="1"/>
  <c r="F23" i="2"/>
  <c r="D23" i="2"/>
  <c r="F24" i="2"/>
  <c r="F15" i="1"/>
  <c r="AC1" i="1"/>
  <c r="D11" i="1"/>
  <c r="D12" i="1" s="1"/>
  <c r="O11" i="1"/>
  <c r="P11" i="1" s="1"/>
  <c r="O10" i="1"/>
  <c r="E21" i="1" s="1"/>
  <c r="E23" i="1" s="1"/>
  <c r="E24" i="1" s="1"/>
  <c r="O9" i="1"/>
  <c r="K11" i="1"/>
  <c r="L11" i="1" s="1"/>
  <c r="M11" i="1" s="1"/>
  <c r="K9" i="1"/>
  <c r="L9" i="1" s="1"/>
  <c r="M9" i="1" s="1"/>
  <c r="E19" i="4" l="1"/>
  <c r="D20" i="4"/>
  <c r="D21" i="4" s="1"/>
  <c r="D19" i="4"/>
  <c r="D15" i="4"/>
  <c r="F10" i="3"/>
  <c r="D12" i="3"/>
  <c r="D14" i="3" s="1"/>
  <c r="E31" i="2"/>
  <c r="E32" i="2" s="1"/>
  <c r="E33" i="2" s="1"/>
  <c r="E27" i="2"/>
  <c r="D31" i="2"/>
  <c r="D32" i="2" s="1"/>
  <c r="D33" i="2" s="1"/>
  <c r="E28" i="2"/>
  <c r="D17" i="2"/>
  <c r="D16" i="2"/>
  <c r="D15" i="2"/>
  <c r="D22" i="2"/>
  <c r="D24" i="2" s="1"/>
  <c r="F20" i="2"/>
  <c r="D13" i="1"/>
  <c r="D15" i="1" s="1"/>
  <c r="D21" i="1"/>
  <c r="D23" i="1" s="1"/>
  <c r="D24" i="1" s="1"/>
  <c r="D22" i="1"/>
  <c r="E22" i="1"/>
  <c r="D14" i="1"/>
  <c r="F14" i="1"/>
  <c r="E11" i="1"/>
  <c r="F11" i="1" s="1"/>
  <c r="P10" i="1"/>
  <c r="D17" i="3" l="1"/>
  <c r="D18" i="1"/>
  <c r="E35" i="2"/>
  <c r="E36" i="2" s="1"/>
  <c r="E37" i="2" s="1"/>
  <c r="D35" i="2"/>
  <c r="D36" i="2" s="1"/>
  <c r="D37" i="2" s="1"/>
  <c r="D28" i="2"/>
  <c r="D27" i="2"/>
  <c r="E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Barbara</author>
  </authors>
  <commentList>
    <comment ref="D5" authorId="0" shapeId="0" xr:uid="{3C5092FE-0DBB-44C4-880F-67CBA03247D8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See table on the right!</t>
        </r>
      </text>
    </comment>
    <comment ref="D6" authorId="0" shapeId="0" xr:uid="{F81AB42F-E1B9-4704-BAA2-1295A52AF2E0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See table on the right!</t>
        </r>
      </text>
    </comment>
    <comment ref="D7" authorId="0" shapeId="0" xr:uid="{E2C8C061-2B96-411F-BA8F-37AF10B91D9A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See table on the right!</t>
        </r>
      </text>
    </comment>
    <comment ref="E11" authorId="0" shapeId="0" xr:uid="{33062B5A-E4DE-47D0-B2E1-23567E5B014B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2 places in parallel are available per position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Barbara</author>
  </authors>
  <commentList>
    <comment ref="D5" authorId="0" shapeId="0" xr:uid="{F68D0C64-209A-4296-80FC-104995310852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See table on the right!</t>
        </r>
      </text>
    </comment>
    <comment ref="D6" authorId="0" shapeId="0" xr:uid="{C63F8468-7A09-462B-A947-6CF2587F1024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See table on the right!</t>
        </r>
      </text>
    </comment>
    <comment ref="D7" authorId="0" shapeId="0" xr:uid="{5C7752F3-F2B0-47F4-98B9-98A6AA0272F6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See table on the right!</t>
        </r>
      </text>
    </comment>
    <comment ref="E11" authorId="0" shapeId="0" xr:uid="{DB468307-C903-462B-AD15-0B0714ED3D7E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2 places in parallel are available per position</t>
        </r>
      </text>
    </comment>
    <comment ref="E12" authorId="0" shapeId="0" xr:uid="{498E532E-058F-43FE-89B3-1AA3EF57642B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2 places in parallel are available per position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Barbara</author>
  </authors>
  <commentList>
    <comment ref="D6" authorId="0" shapeId="0" xr:uid="{46FD28C4-AA5E-42CC-83C5-32E5D62B30D4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See table on the right!</t>
        </r>
      </text>
    </comment>
    <comment ref="D7" authorId="0" shapeId="0" xr:uid="{BB3DC8DE-DA3E-42FF-BBD4-888E7C793D69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See table on the right!</t>
        </r>
      </text>
    </comment>
    <comment ref="D8" authorId="0" shapeId="0" xr:uid="{785FF825-528F-419B-A5E3-F318F8626B95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See table on the right!</t>
        </r>
      </text>
    </comment>
    <comment ref="E12" authorId="0" shapeId="0" xr:uid="{71824AAC-E68F-4504-BA9B-97769CE9D5FC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2 places in parallel are available per position</t>
        </r>
      </text>
    </comment>
    <comment ref="E13" authorId="0" shapeId="0" xr:uid="{022B15A1-0A7B-418F-87E3-8DD509796649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2 places in parallel are available per position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Barbara</author>
  </authors>
  <commentList>
    <comment ref="D7" authorId="0" shapeId="0" xr:uid="{4CF1DAB7-57CE-48EA-8983-0A88FC71662A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See table on the right!</t>
        </r>
      </text>
    </comment>
    <comment ref="E21" authorId="0" shapeId="0" xr:uid="{6F530740-367B-4323-A1C3-56394DB88841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2 places in parallel are available per position</t>
        </r>
      </text>
    </comment>
    <comment ref="E22" authorId="0" shapeId="0" xr:uid="{280AE348-D606-4588-9552-EB1191BD9D84}">
      <text>
        <r>
          <rPr>
            <b/>
            <sz val="9"/>
            <color indexed="81"/>
            <rFont val="Segoe UI"/>
            <family val="2"/>
          </rPr>
          <t>Barbara:</t>
        </r>
        <r>
          <rPr>
            <sz val="9"/>
            <color indexed="81"/>
            <rFont val="Segoe UI"/>
            <family val="2"/>
          </rPr>
          <t xml:space="preserve">
2 places in parallel are available per position</t>
        </r>
      </text>
    </comment>
  </commentList>
</comments>
</file>

<file path=xl/sharedStrings.xml><?xml version="1.0" encoding="utf-8"?>
<sst xmlns="http://schemas.openxmlformats.org/spreadsheetml/2006/main" count="240" uniqueCount="77">
  <si>
    <t>[Ω]</t>
  </si>
  <si>
    <t>ES9018</t>
  </si>
  <si>
    <t>ES9038q2m</t>
  </si>
  <si>
    <t>ES9038PRO</t>
  </si>
  <si>
    <t>DAC-CHIP</t>
  </si>
  <si>
    <t>1-ch.</t>
  </si>
  <si>
    <t>X</t>
  </si>
  <si>
    <t>8-ch.
Mono</t>
  </si>
  <si>
    <t>4-ch.
Stereo</t>
  </si>
  <si>
    <t>2-ch.
Quadro</t>
  </si>
  <si>
    <t>[V]</t>
  </si>
  <si>
    <t>[mA]</t>
  </si>
  <si>
    <t>Output values @ idling</t>
  </si>
  <si>
    <t>Output values @ DFS</t>
  </si>
  <si>
    <t>C1</t>
  </si>
  <si>
    <t>[nF]</t>
  </si>
  <si>
    <t>[µF]</t>
  </si>
  <si>
    <t>C2</t>
  </si>
  <si>
    <t>[factor-x]</t>
  </si>
  <si>
    <t>[dB]</t>
  </si>
  <si>
    <t>PW =</t>
  </si>
  <si>
    <t>Component values of DAB</t>
  </si>
  <si>
    <t>chosen</t>
  </si>
  <si>
    <t>Hz</t>
  </si>
  <si>
    <t>precision</t>
  </si>
  <si>
    <t>THE DIMENSIONING OF THE DAB FOR THE ESS-SABRE DAC-CHIPS</t>
  </si>
  <si>
    <t>DFS = Digital Full Scale</t>
  </si>
  <si>
    <t>R3</t>
  </si>
  <si>
    <t>R1, R4</t>
  </si>
  <si>
    <t>R2, R5</t>
  </si>
  <si>
    <t>@ no load</t>
  </si>
  <si>
    <t>Signal (unloaded)</t>
  </si>
  <si>
    <t>calc.</t>
  </si>
  <si>
    <t>THE DIMENSIONING OF THE DAB FOR THE BD34301EKV ROHM DAC-CHIP</t>
  </si>
  <si>
    <t>BD34301EKV</t>
  </si>
  <si>
    <t>This is an Iout-Chip!</t>
  </si>
  <si>
    <t>Type</t>
  </si>
  <si>
    <t>PCM-Mode</t>
  </si>
  <si>
    <t>DSD-Mode</t>
  </si>
  <si>
    <t>Total Load</t>
  </si>
  <si>
    <t>DAB</t>
  </si>
  <si>
    <t>ES9039q2m</t>
  </si>
  <si>
    <t>AK4493</t>
  </si>
  <si>
    <t>VA</t>
  </si>
  <si>
    <t>CS4398</t>
  </si>
  <si>
    <t>Signal (unloaded) PCM</t>
  </si>
  <si>
    <t>Signal (unloaded) DSD</t>
  </si>
  <si>
    <t>THE DIMENSIONING OF THE DAB FOR STANDARD Iout-DAC-CHIPS</t>
  </si>
  <si>
    <t>PCM1798</t>
  </si>
  <si>
    <r>
      <t>R</t>
    </r>
    <r>
      <rPr>
        <vertAlign val="subscript"/>
        <sz val="11"/>
        <color theme="1"/>
        <rFont val="Aptos Narrow"/>
        <family val="2"/>
      </rPr>
      <t>load</t>
    </r>
    <r>
      <rPr>
        <sz val="11"/>
        <color theme="1"/>
        <rFont val="Aptos Narrow"/>
        <family val="2"/>
      </rPr>
      <t xml:space="preserve"> (total)</t>
    </r>
  </si>
  <si>
    <r>
      <t>I</t>
    </r>
    <r>
      <rPr>
        <vertAlign val="subscript"/>
        <sz val="11"/>
        <color theme="1"/>
        <rFont val="Aptos Narrow"/>
        <family val="2"/>
      </rPr>
      <t>dc</t>
    </r>
  </si>
  <si>
    <r>
      <rPr>
        <sz val="11"/>
        <color theme="1"/>
        <rFont val="Aptos Narrow"/>
        <family val="2"/>
      </rPr>
      <t>I</t>
    </r>
    <r>
      <rPr>
        <vertAlign val="subscript"/>
        <sz val="11"/>
        <color theme="1"/>
        <rFont val="Aptos Narrow"/>
        <family val="2"/>
      </rPr>
      <t>dc</t>
    </r>
  </si>
  <si>
    <r>
      <rPr>
        <sz val="11"/>
        <color theme="1"/>
        <rFont val="Aptos Narrow"/>
        <family val="2"/>
      </rPr>
      <t>I</t>
    </r>
    <r>
      <rPr>
        <vertAlign val="subscript"/>
        <sz val="11"/>
        <color theme="1"/>
        <rFont val="Aptos Narrow"/>
        <family val="2"/>
      </rPr>
      <t>ac-peak</t>
    </r>
  </si>
  <si>
    <r>
      <t>I</t>
    </r>
    <r>
      <rPr>
        <vertAlign val="subscript"/>
        <sz val="11"/>
        <color theme="1"/>
        <rFont val="Aptos Narrow"/>
        <family val="2"/>
      </rPr>
      <t>ac-pp</t>
    </r>
  </si>
  <si>
    <r>
      <t>I</t>
    </r>
    <r>
      <rPr>
        <vertAlign val="subscript"/>
        <sz val="11"/>
        <color theme="1"/>
        <rFont val="Aptos Narrow"/>
        <family val="2"/>
      </rPr>
      <t>ac-peak</t>
    </r>
  </si>
  <si>
    <r>
      <t>U</t>
    </r>
    <r>
      <rPr>
        <vertAlign val="subscript"/>
        <sz val="11"/>
        <color theme="1"/>
        <rFont val="Aptos Narrow"/>
        <family val="2"/>
      </rPr>
      <t>a_dc</t>
    </r>
  </si>
  <si>
    <r>
      <t xml:space="preserve">Pls. understand that you can only write to </t>
    </r>
    <r>
      <rPr>
        <sz val="11"/>
        <color rgb="FF00B050"/>
        <rFont val="Aptos Narrow"/>
        <family val="2"/>
      </rPr>
      <t>GREEN</t>
    </r>
    <r>
      <rPr>
        <sz val="11"/>
        <color theme="1"/>
        <rFont val="Aptos Narrow"/>
        <family val="2"/>
      </rPr>
      <t xml:space="preserve"> cells.</t>
    </r>
  </si>
  <si>
    <r>
      <t>U</t>
    </r>
    <r>
      <rPr>
        <vertAlign val="subscript"/>
        <sz val="11"/>
        <color theme="1"/>
        <rFont val="Aptos Narrow"/>
        <family val="2"/>
      </rPr>
      <t>a_ac-p</t>
    </r>
  </si>
  <si>
    <r>
      <rPr>
        <sz val="11"/>
        <color rgb="FF0070C0"/>
        <rFont val="Aptos Narrow"/>
        <family val="2"/>
      </rPr>
      <t>Precision</t>
    </r>
    <r>
      <rPr>
        <sz val="11"/>
        <color theme="1"/>
        <rFont val="Aptos Narrow"/>
        <family val="2"/>
      </rPr>
      <t xml:space="preserve"> of DAB values must be in between 95% and 105%.</t>
    </r>
  </si>
  <si>
    <r>
      <t>U</t>
    </r>
    <r>
      <rPr>
        <vertAlign val="subscript"/>
        <sz val="11"/>
        <color theme="1"/>
        <rFont val="Aptos Narrow"/>
        <family val="2"/>
      </rPr>
      <t>a_ac-rms</t>
    </r>
  </si>
  <si>
    <r>
      <t>gain for 2V</t>
    </r>
    <r>
      <rPr>
        <vertAlign val="subscript"/>
        <sz val="11"/>
        <color theme="1"/>
        <rFont val="Aptos Narrow"/>
        <family val="2"/>
      </rPr>
      <t>p</t>
    </r>
  </si>
  <si>
    <r>
      <t>These is are Uout-Chips with limited output current by internal R</t>
    </r>
    <r>
      <rPr>
        <b/>
        <vertAlign val="subscript"/>
        <sz val="14"/>
        <color theme="1"/>
        <rFont val="Aptos Narrow"/>
        <family val="2"/>
      </rPr>
      <t>dac</t>
    </r>
    <r>
      <rPr>
        <b/>
        <sz val="14"/>
        <color theme="1"/>
        <rFont val="Aptos Narrow"/>
        <family val="2"/>
      </rPr>
      <t>!</t>
    </r>
  </si>
  <si>
    <r>
      <t>int. R</t>
    </r>
    <r>
      <rPr>
        <vertAlign val="subscript"/>
        <sz val="11"/>
        <color theme="1"/>
        <rFont val="Aptos Narrow"/>
        <family val="2"/>
      </rPr>
      <t>dac</t>
    </r>
  </si>
  <si>
    <r>
      <t>internal R</t>
    </r>
    <r>
      <rPr>
        <vertAlign val="subscript"/>
        <sz val="11"/>
        <color theme="1"/>
        <rFont val="Aptos Narrow"/>
        <family val="2"/>
      </rPr>
      <t>dac</t>
    </r>
  </si>
  <si>
    <r>
      <t>U</t>
    </r>
    <r>
      <rPr>
        <vertAlign val="subscript"/>
        <sz val="11"/>
        <color theme="1"/>
        <rFont val="Aptos Narrow"/>
        <family val="2"/>
      </rPr>
      <t>dc</t>
    </r>
  </si>
  <si>
    <r>
      <t>U</t>
    </r>
    <r>
      <rPr>
        <vertAlign val="subscript"/>
        <sz val="11"/>
        <color theme="1"/>
        <rFont val="Aptos Narrow"/>
        <family val="2"/>
      </rPr>
      <t>ac-
peak</t>
    </r>
  </si>
  <si>
    <r>
      <t>I</t>
    </r>
    <r>
      <rPr>
        <vertAlign val="subscript"/>
        <sz val="11"/>
        <color theme="1"/>
        <rFont val="Aptos Narrow"/>
        <family val="2"/>
      </rPr>
      <t>ac
pp</t>
    </r>
  </si>
  <si>
    <r>
      <t>U</t>
    </r>
    <r>
      <rPr>
        <vertAlign val="subscript"/>
        <sz val="11"/>
        <color theme="1"/>
        <rFont val="Aptos Narrow"/>
        <family val="2"/>
      </rPr>
      <t>ac-peak</t>
    </r>
  </si>
  <si>
    <r>
      <t>THE DIMENSIONING OF THE DAB FOR STANDARD U</t>
    </r>
    <r>
      <rPr>
        <b/>
        <vertAlign val="subscript"/>
        <sz val="14"/>
        <color rgb="FFFFFF00"/>
        <rFont val="Aptos Narrow"/>
        <family val="2"/>
      </rPr>
      <t>out</t>
    </r>
    <r>
      <rPr>
        <b/>
        <sz val="14"/>
        <color rgb="FFFFFF00"/>
        <rFont val="Aptos Narrow"/>
        <family val="2"/>
      </rPr>
      <t>-DAC-CHIPS</t>
    </r>
  </si>
  <si>
    <r>
      <t>R</t>
    </r>
    <r>
      <rPr>
        <vertAlign val="subscript"/>
        <sz val="11"/>
        <color theme="1"/>
        <rFont val="Aptos Narrow"/>
        <family val="2"/>
      </rPr>
      <t>load (min)</t>
    </r>
  </si>
  <si>
    <t>[Ω]</t>
  </si>
  <si>
    <r>
      <t>U</t>
    </r>
    <r>
      <rPr>
        <vertAlign val="subscript"/>
        <sz val="11"/>
        <color theme="1"/>
        <rFont val="Aptos Narrow"/>
        <family val="2"/>
      </rPr>
      <t>ac-p</t>
    </r>
  </si>
  <si>
    <r>
      <t>Idling mA</t>
    </r>
    <r>
      <rPr>
        <vertAlign val="subscript"/>
        <sz val="11"/>
        <color theme="1"/>
        <rFont val="Aptos Narrow"/>
        <family val="2"/>
      </rPr>
      <t>dc</t>
    </r>
  </si>
  <si>
    <r>
      <t>max mA</t>
    </r>
    <r>
      <rPr>
        <vertAlign val="subscript"/>
        <sz val="11"/>
        <color theme="1"/>
        <rFont val="Aptos Narrow"/>
        <family val="2"/>
      </rPr>
      <t>p</t>
    </r>
  </si>
  <si>
    <r>
      <t>mA</t>
    </r>
    <r>
      <rPr>
        <vertAlign val="subscript"/>
        <sz val="11"/>
        <color theme="1"/>
        <rFont val="Aptos Narrow"/>
        <family val="2"/>
      </rPr>
      <t>rms</t>
    </r>
  </si>
  <si>
    <r>
      <t>U</t>
    </r>
    <r>
      <rPr>
        <vertAlign val="subscript"/>
        <sz val="11"/>
        <color theme="1"/>
        <rFont val="Aptos Narrow"/>
        <family val="2"/>
      </rPr>
      <t>ac-rms</t>
    </r>
  </si>
  <si>
    <r>
      <t>U</t>
    </r>
    <r>
      <rPr>
        <vertAlign val="subscript"/>
        <sz val="11"/>
        <color theme="1"/>
        <rFont val="Aptos Narrow"/>
        <family val="2"/>
      </rPr>
      <t>a-dc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</si>
</sst>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0.000"/>
    <numFmt numFmtId="165" formatCode="0.0"/>
    <numFmt numFmtId="166" formatCode="#,##0.00_ ;\-#,##0.00\ "/>
    <numFmt numFmtId="167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theme="1"/>
      <name val="Aptos"/>
      <family val="2"/>
    </font>
    <font>
      <b/>
      <sz val="14"/>
      <color theme="1"/>
      <name val="Aptos"/>
      <family val="2"/>
    </font>
    <font>
      <sz val="11"/>
      <color theme="1"/>
      <name val="Aptos Narrow"/>
      <family val="2"/>
    </font>
    <font>
      <b/>
      <sz val="14"/>
      <color rgb="FFFFFF00"/>
      <name val="Aptos Narrow"/>
      <family val="2"/>
    </font>
    <font>
      <b/>
      <sz val="14"/>
      <color theme="1"/>
      <name val="Aptos Narrow"/>
      <family val="2"/>
    </font>
    <font>
      <vertAlign val="subscript"/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color rgb="FF0070C0"/>
      <name val="Aptos Narrow"/>
      <family val="2"/>
    </font>
    <font>
      <sz val="11"/>
      <color rgb="FF00B050"/>
      <name val="Aptos Narrow"/>
      <family val="2"/>
    </font>
    <font>
      <b/>
      <vertAlign val="subscript"/>
      <sz val="14"/>
      <color theme="1"/>
      <name val="Aptos Narrow"/>
      <family val="2"/>
    </font>
    <font>
      <b/>
      <vertAlign val="subscript"/>
      <sz val="14"/>
      <color rgb="FFFFFF00"/>
      <name val="Aptos Narrow"/>
      <family val="2"/>
    </font>
    <font>
      <b/>
      <sz val="11"/>
      <color theme="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5" fillId="0" borderId="0" xfId="0" applyFont="1" applyProtection="1"/>
    <xf numFmtId="0" fontId="5" fillId="0" borderId="0" xfId="0" applyFont="1" applyAlignment="1" applyProtection="1">
      <alignment horizontal="center"/>
    </xf>
    <xf numFmtId="0" fontId="6" fillId="0" borderId="0" xfId="0" applyFont="1" applyProtection="1"/>
    <xf numFmtId="0" fontId="7" fillId="0" borderId="0" xfId="0" applyFont="1" applyAlignment="1" applyProtection="1">
      <alignment horizontal="center"/>
    </xf>
    <xf numFmtId="0" fontId="7" fillId="0" borderId="0" xfId="0" applyFont="1" applyProtection="1"/>
    <xf numFmtId="0" fontId="9" fillId="0" borderId="0" xfId="0" applyFont="1" applyProtection="1"/>
    <xf numFmtId="0" fontId="7" fillId="0" borderId="1" xfId="0" applyFont="1" applyBorder="1" applyAlignment="1" applyProtection="1">
      <alignment horizontal="center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10" fillId="0" borderId="18" xfId="0" applyFont="1" applyBorder="1" applyAlignment="1" applyProtection="1">
      <alignment horizontal="center" vertical="center" wrapText="1"/>
    </xf>
    <xf numFmtId="0" fontId="7" fillId="0" borderId="19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/>
    </xf>
    <xf numFmtId="0" fontId="7" fillId="0" borderId="1" xfId="0" applyFont="1" applyBorder="1" applyProtection="1"/>
    <xf numFmtId="2" fontId="7" fillId="0" borderId="1" xfId="0" applyNumberFormat="1" applyFont="1" applyBorder="1" applyAlignment="1" applyProtection="1">
      <alignment horizontal="center"/>
    </xf>
    <xf numFmtId="0" fontId="7" fillId="6" borderId="1" xfId="0" applyFont="1" applyFill="1" applyBorder="1" applyAlignment="1" applyProtection="1">
      <alignment horizontal="center"/>
    </xf>
    <xf numFmtId="0" fontId="12" fillId="6" borderId="1" xfId="0" applyFont="1" applyFill="1" applyBorder="1" applyAlignment="1" applyProtection="1">
      <alignment horizontal="center"/>
    </xf>
    <xf numFmtId="1" fontId="7" fillId="3" borderId="1" xfId="0" applyNumberFormat="1" applyFont="1" applyFill="1" applyBorder="1" applyProtection="1"/>
    <xf numFmtId="0" fontId="7" fillId="2" borderId="1" xfId="0" applyFont="1" applyFill="1" applyBorder="1" applyProtection="1">
      <protection locked="0"/>
    </xf>
    <xf numFmtId="165" fontId="7" fillId="3" borderId="1" xfId="0" applyNumberFormat="1" applyFont="1" applyFill="1" applyBorder="1" applyProtection="1"/>
    <xf numFmtId="166" fontId="7" fillId="2" borderId="1" xfId="3" applyNumberFormat="1" applyFont="1" applyFill="1" applyBorder="1" applyProtection="1">
      <protection locked="0"/>
    </xf>
    <xf numFmtId="167" fontId="7" fillId="3" borderId="1" xfId="1" applyNumberFormat="1" applyFont="1" applyFill="1" applyBorder="1" applyProtection="1"/>
    <xf numFmtId="0" fontId="7" fillId="3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9" fillId="4" borderId="0" xfId="0" applyFont="1" applyFill="1" applyAlignment="1" applyProtection="1">
      <alignment horizontal="center"/>
    </xf>
    <xf numFmtId="0" fontId="8" fillId="4" borderId="0" xfId="0" applyFont="1" applyFill="1" applyAlignment="1" applyProtection="1">
      <alignment horizontal="center"/>
    </xf>
    <xf numFmtId="164" fontId="7" fillId="3" borderId="1" xfId="0" applyNumberFormat="1" applyFont="1" applyFill="1" applyBorder="1" applyProtection="1"/>
    <xf numFmtId="0" fontId="7" fillId="0" borderId="0" xfId="0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7" fillId="0" borderId="0" xfId="0" applyFont="1" applyProtection="1"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1" fontId="7" fillId="0" borderId="1" xfId="0" applyNumberFormat="1" applyFont="1" applyBorder="1" applyAlignment="1" applyProtection="1">
      <alignment horizontal="center"/>
    </xf>
    <xf numFmtId="0" fontId="7" fillId="6" borderId="1" xfId="0" applyFont="1" applyFill="1" applyBorder="1" applyAlignment="1" applyProtection="1">
      <alignment horizontal="center"/>
      <protection locked="0"/>
    </xf>
    <xf numFmtId="1" fontId="7" fillId="7" borderId="3" xfId="0" applyNumberFormat="1" applyFont="1" applyFill="1" applyBorder="1" applyProtection="1"/>
    <xf numFmtId="1" fontId="7" fillId="3" borderId="1" xfId="1" applyNumberFormat="1" applyFont="1" applyFill="1" applyBorder="1" applyProtection="1"/>
    <xf numFmtId="0" fontId="7" fillId="0" borderId="0" xfId="0" applyFont="1" applyProtection="1">
      <protection hidden="1"/>
    </xf>
    <xf numFmtId="0" fontId="7" fillId="0" borderId="0" xfId="0" applyFont="1" applyAlignment="1" applyProtection="1">
      <alignment vertical="center"/>
    </xf>
    <xf numFmtId="0" fontId="8" fillId="5" borderId="0" xfId="0" applyFont="1" applyFill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/>
    </xf>
    <xf numFmtId="0" fontId="7" fillId="0" borderId="16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center" vertical="center"/>
    </xf>
    <xf numFmtId="0" fontId="7" fillId="0" borderId="18" xfId="0" applyFont="1" applyBorder="1" applyAlignment="1" applyProtection="1">
      <alignment horizontal="center"/>
    </xf>
    <xf numFmtId="0" fontId="7" fillId="0" borderId="19" xfId="0" applyFont="1" applyBorder="1" applyAlignment="1" applyProtection="1">
      <alignment horizontal="center"/>
    </xf>
    <xf numFmtId="0" fontId="7" fillId="0" borderId="3" xfId="0" applyFont="1" applyBorder="1" applyProtection="1"/>
    <xf numFmtId="2" fontId="7" fillId="0" borderId="3" xfId="0" applyNumberFormat="1" applyFont="1" applyBorder="1" applyAlignment="1" applyProtection="1">
      <alignment horizontal="center"/>
    </xf>
    <xf numFmtId="1" fontId="7" fillId="0" borderId="3" xfId="0" applyNumberFormat="1" applyFont="1" applyBorder="1" applyAlignment="1" applyProtection="1">
      <alignment horizontal="center"/>
    </xf>
    <xf numFmtId="1" fontId="7" fillId="0" borderId="1" xfId="0" applyNumberFormat="1" applyFont="1" applyBorder="1" applyProtection="1"/>
    <xf numFmtId="0" fontId="8" fillId="0" borderId="0" xfId="0" applyFont="1" applyFill="1" applyAlignment="1" applyProtection="1">
      <alignment horizontal="center"/>
    </xf>
    <xf numFmtId="0" fontId="16" fillId="8" borderId="0" xfId="0" applyFont="1" applyFill="1" applyProtection="1"/>
    <xf numFmtId="0" fontId="7" fillId="0" borderId="1" xfId="0" applyFont="1" applyBorder="1" applyAlignment="1" applyProtection="1">
      <alignment horizontal="center" wrapText="1"/>
    </xf>
    <xf numFmtId="164" fontId="7" fillId="0" borderId="1" xfId="0" applyNumberFormat="1" applyFont="1" applyBorder="1" applyAlignment="1" applyProtection="1">
      <alignment horizontal="center"/>
    </xf>
    <xf numFmtId="1" fontId="7" fillId="3" borderId="3" xfId="0" applyNumberFormat="1" applyFont="1" applyFill="1" applyBorder="1" applyProtection="1"/>
    <xf numFmtId="0" fontId="8" fillId="5" borderId="0" xfId="0" applyFont="1" applyFill="1" applyAlignment="1" applyProtection="1">
      <alignment horizont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7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/>
    </xf>
    <xf numFmtId="0" fontId="7" fillId="0" borderId="12" xfId="0" applyFont="1" applyBorder="1" applyAlignment="1" applyProtection="1">
      <alignment horizontal="center"/>
    </xf>
    <xf numFmtId="0" fontId="7" fillId="0" borderId="14" xfId="0" applyFont="1" applyBorder="1" applyAlignment="1" applyProtection="1">
      <alignment horizontal="center"/>
    </xf>
    <xf numFmtId="0" fontId="7" fillId="0" borderId="1" xfId="0" quotePrefix="1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11" fillId="0" borderId="0" xfId="0" applyFont="1" applyAlignment="1" applyProtection="1">
      <alignment horizontal="center"/>
    </xf>
    <xf numFmtId="0" fontId="11" fillId="0" borderId="4" xfId="0" applyFont="1" applyBorder="1" applyAlignment="1" applyProtection="1">
      <alignment horizontal="center"/>
    </xf>
    <xf numFmtId="9" fontId="7" fillId="3" borderId="1" xfId="2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8" fillId="5" borderId="0" xfId="0" applyFont="1" applyFill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/>
    </xf>
    <xf numFmtId="0" fontId="7" fillId="0" borderId="5" xfId="0" applyFont="1" applyBorder="1" applyAlignment="1" applyProtection="1">
      <alignment horizontal="center"/>
    </xf>
    <xf numFmtId="0" fontId="7" fillId="0" borderId="6" xfId="0" applyFont="1" applyBorder="1" applyAlignment="1" applyProtection="1">
      <alignment horizontal="center"/>
    </xf>
    <xf numFmtId="0" fontId="7" fillId="0" borderId="7" xfId="0" applyFont="1" applyBorder="1" applyAlignment="1" applyProtection="1">
      <alignment horizontal="center"/>
    </xf>
    <xf numFmtId="0" fontId="7" fillId="0" borderId="1" xfId="0" quotePrefix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</xf>
    <xf numFmtId="0" fontId="16" fillId="8" borderId="8" xfId="0" applyFont="1" applyFill="1" applyBorder="1" applyAlignment="1" applyProtection="1">
      <alignment horizontal="center" vertical="center"/>
    </xf>
  </cellXfs>
  <cellStyles count="4">
    <cellStyle name="Komma" xfId="1" builtinId="3"/>
    <cellStyle name="Prozent" xfId="2" builtinId="5"/>
    <cellStyle name="Standard" xfId="0" builtinId="0"/>
    <cellStyle name="Währung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4F07C-6201-4949-9D8F-AE013FC1134F}">
  <dimension ref="A1:AC22"/>
  <sheetViews>
    <sheetView zoomScaleNormal="100" workbookViewId="0">
      <selection activeCell="D5" sqref="D5"/>
    </sheetView>
  </sheetViews>
  <sheetFormatPr baseColWidth="10" defaultColWidth="8.88671875" defaultRowHeight="14.4" x14ac:dyDescent="0.3"/>
  <cols>
    <col min="1" max="1" width="4.6640625" style="1" customWidth="1"/>
    <col min="2" max="2" width="10.44140625" style="1" customWidth="1"/>
    <col min="3" max="5" width="10.44140625" style="2" customWidth="1"/>
    <col min="6" max="6" width="10.44140625" style="1" customWidth="1"/>
    <col min="7" max="7" width="4.44140625" style="1" customWidth="1"/>
    <col min="8" max="8" width="1.21875" style="1" customWidth="1"/>
    <col min="9" max="12" width="11.33203125" style="1" customWidth="1"/>
    <col min="13" max="13" width="12.5546875" style="1" customWidth="1"/>
    <col min="14" max="15" width="12.5546875" style="2" customWidth="1"/>
    <col min="16" max="17" width="8.88671875" style="2"/>
    <col min="18" max="28" width="8.88671875" style="1"/>
    <col min="29" max="29" width="2.5546875" style="1" customWidth="1"/>
    <col min="30" max="16384" width="8.88671875" style="1"/>
  </cols>
  <sheetData>
    <row r="1" spans="1:29" x14ac:dyDescent="0.3">
      <c r="B1" s="5"/>
      <c r="C1" s="4"/>
      <c r="D1" s="4"/>
      <c r="E1" s="4"/>
      <c r="F1" s="5"/>
      <c r="G1" s="5"/>
      <c r="H1" s="5"/>
      <c r="I1" s="5"/>
      <c r="J1" s="5"/>
      <c r="K1" s="5"/>
      <c r="L1" s="5"/>
      <c r="AC1" s="4">
        <f>2*SIN(18*PI()/180)</f>
        <v>0.61803398874989479</v>
      </c>
    </row>
    <row r="2" spans="1:29" ht="18" x14ac:dyDescent="0.35">
      <c r="A2" s="5"/>
      <c r="B2" s="56" t="s">
        <v>47</v>
      </c>
      <c r="C2" s="56"/>
      <c r="D2" s="56"/>
      <c r="E2" s="56"/>
      <c r="F2" s="56"/>
      <c r="G2" s="56"/>
      <c r="H2" s="56"/>
      <c r="I2" s="56"/>
      <c r="J2" s="5"/>
      <c r="K2" s="5"/>
      <c r="L2" s="5"/>
    </row>
    <row r="3" spans="1:29" s="3" customFormat="1" ht="18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29" ht="15" thickBot="1" x14ac:dyDescent="0.35">
      <c r="A4" s="5"/>
      <c r="B4" s="5"/>
      <c r="C4" s="4"/>
      <c r="D4" s="4"/>
      <c r="E4" s="4"/>
      <c r="F4" s="5"/>
      <c r="G4" s="5"/>
      <c r="H4" s="5"/>
      <c r="I4" s="5"/>
      <c r="J4" s="5"/>
      <c r="K4" s="5"/>
      <c r="L4" s="5"/>
    </row>
    <row r="5" spans="1:29" ht="15.6" x14ac:dyDescent="0.35">
      <c r="A5" s="5"/>
      <c r="B5" s="7" t="s">
        <v>49</v>
      </c>
      <c r="C5" s="7" t="s">
        <v>0</v>
      </c>
      <c r="D5" s="8">
        <v>200</v>
      </c>
      <c r="E5" s="5"/>
      <c r="F5" s="5"/>
      <c r="G5" s="5"/>
      <c r="H5" s="5"/>
      <c r="I5" s="57" t="s">
        <v>4</v>
      </c>
      <c r="J5" s="59" t="s">
        <v>31</v>
      </c>
      <c r="K5" s="60"/>
      <c r="L5" s="61"/>
      <c r="M5" s="2"/>
      <c r="N5" s="1"/>
      <c r="O5" s="1"/>
      <c r="P5" s="1"/>
      <c r="Q5" s="1"/>
    </row>
    <row r="6" spans="1:29" ht="20.399999999999999" customHeight="1" thickBot="1" x14ac:dyDescent="0.4">
      <c r="A6" s="5"/>
      <c r="B6" s="7" t="s">
        <v>50</v>
      </c>
      <c r="C6" s="7" t="s">
        <v>10</v>
      </c>
      <c r="D6" s="9">
        <v>3.5</v>
      </c>
      <c r="E6" s="62" t="s">
        <v>30</v>
      </c>
      <c r="F6" s="5"/>
      <c r="G6" s="5"/>
      <c r="H6" s="5"/>
      <c r="I6" s="58"/>
      <c r="J6" s="10" t="s">
        <v>51</v>
      </c>
      <c r="K6" s="10" t="s">
        <v>52</v>
      </c>
      <c r="L6" s="11" t="s">
        <v>53</v>
      </c>
      <c r="M6" s="2"/>
      <c r="N6" s="1"/>
      <c r="O6" s="1"/>
      <c r="P6" s="1"/>
      <c r="Q6" s="1"/>
    </row>
    <row r="7" spans="1:29" ht="15.6" x14ac:dyDescent="0.35">
      <c r="A7" s="5"/>
      <c r="B7" s="7" t="s">
        <v>54</v>
      </c>
      <c r="C7" s="7" t="s">
        <v>10</v>
      </c>
      <c r="D7" s="9">
        <v>2</v>
      </c>
      <c r="E7" s="63"/>
      <c r="F7" s="5"/>
      <c r="G7" s="5"/>
      <c r="H7" s="5"/>
      <c r="I7" s="12"/>
      <c r="J7" s="13" t="s">
        <v>11</v>
      </c>
      <c r="K7" s="13" t="s">
        <v>11</v>
      </c>
      <c r="L7" s="13" t="s">
        <v>11</v>
      </c>
      <c r="M7" s="2"/>
      <c r="N7" s="1"/>
      <c r="O7" s="1"/>
      <c r="P7" s="1"/>
      <c r="Q7" s="1"/>
    </row>
    <row r="8" spans="1:29" x14ac:dyDescent="0.3">
      <c r="A8" s="5"/>
      <c r="B8" s="5"/>
      <c r="C8" s="5"/>
      <c r="D8" s="5"/>
      <c r="E8" s="5"/>
      <c r="F8" s="5"/>
      <c r="G8" s="5"/>
      <c r="H8" s="5"/>
      <c r="I8" s="14"/>
      <c r="J8" s="15"/>
      <c r="K8" s="15"/>
      <c r="L8" s="15"/>
      <c r="M8" s="2"/>
      <c r="N8" s="1"/>
      <c r="O8" s="1"/>
      <c r="P8" s="1"/>
      <c r="Q8" s="1"/>
    </row>
    <row r="9" spans="1:29" x14ac:dyDescent="0.3">
      <c r="A9" s="5"/>
      <c r="B9" s="65" t="s">
        <v>21</v>
      </c>
      <c r="C9" s="65"/>
      <c r="D9" s="16" t="s">
        <v>32</v>
      </c>
      <c r="E9" s="16" t="s">
        <v>22</v>
      </c>
      <c r="F9" s="17" t="s">
        <v>24</v>
      </c>
      <c r="G9" s="5"/>
      <c r="H9" s="5"/>
      <c r="I9" s="14" t="s">
        <v>48</v>
      </c>
      <c r="J9" s="15">
        <v>3.5</v>
      </c>
      <c r="K9" s="15">
        <v>2</v>
      </c>
      <c r="L9" s="15">
        <f>2*K9</f>
        <v>4</v>
      </c>
      <c r="M9" s="2"/>
      <c r="N9" s="1"/>
      <c r="O9" s="1"/>
      <c r="P9" s="1"/>
      <c r="Q9" s="1"/>
    </row>
    <row r="10" spans="1:29" x14ac:dyDescent="0.3">
      <c r="A10" s="5"/>
      <c r="B10" s="7" t="s">
        <v>28</v>
      </c>
      <c r="C10" s="7" t="s">
        <v>0</v>
      </c>
      <c r="D10" s="18">
        <f>D5/(2+AC1)</f>
        <v>76.393202250021034</v>
      </c>
      <c r="E10" s="19">
        <v>75</v>
      </c>
      <c r="F10" s="66">
        <f>(2*E10)/(E10+(E11*AC1))</f>
        <v>1.0056040392404</v>
      </c>
      <c r="G10" s="5"/>
      <c r="H10" s="5"/>
      <c r="I10" s="14"/>
      <c r="J10" s="15"/>
      <c r="K10" s="15"/>
      <c r="L10" s="15"/>
      <c r="M10" s="2"/>
      <c r="N10" s="1"/>
      <c r="O10" s="1"/>
      <c r="P10" s="1"/>
      <c r="Q10" s="1"/>
    </row>
    <row r="11" spans="1:29" x14ac:dyDescent="0.3">
      <c r="A11" s="5"/>
      <c r="B11" s="7" t="s">
        <v>29</v>
      </c>
      <c r="C11" s="7" t="s">
        <v>0</v>
      </c>
      <c r="D11" s="18">
        <f>D5/(1+AC1)</f>
        <v>123.60679774997897</v>
      </c>
      <c r="E11" s="19">
        <v>120</v>
      </c>
      <c r="F11" s="66"/>
      <c r="G11" s="5"/>
      <c r="H11" s="5"/>
      <c r="I11" s="14"/>
      <c r="J11" s="15"/>
      <c r="K11" s="15"/>
      <c r="L11" s="15"/>
      <c r="M11" s="2"/>
      <c r="N11" s="1"/>
      <c r="O11" s="1"/>
      <c r="P11" s="1"/>
      <c r="Q11" s="1"/>
    </row>
    <row r="12" spans="1:29" x14ac:dyDescent="0.3">
      <c r="A12" s="5"/>
      <c r="B12" s="7" t="s">
        <v>14</v>
      </c>
      <c r="C12" s="7" t="s">
        <v>15</v>
      </c>
      <c r="D12" s="20">
        <f>1000000000/(88000*2*PI()*2*D10)</f>
        <v>11.837302570799356</v>
      </c>
      <c r="E12" s="21">
        <v>12</v>
      </c>
      <c r="F12" s="22">
        <f>1000000000/(2*PI()*2*E10*E12)</f>
        <v>88419.41282883074</v>
      </c>
      <c r="G12" s="23" t="s">
        <v>23</v>
      </c>
      <c r="H12" s="24"/>
      <c r="I12" s="5"/>
      <c r="J12" s="4"/>
      <c r="K12" s="4"/>
      <c r="L12" s="4"/>
      <c r="N12" s="1"/>
      <c r="O12" s="1"/>
    </row>
    <row r="13" spans="1:29" ht="18" x14ac:dyDescent="0.35">
      <c r="A13" s="5"/>
      <c r="B13" s="5"/>
      <c r="C13" s="5"/>
      <c r="D13" s="5"/>
      <c r="E13" s="5"/>
      <c r="F13" s="5"/>
      <c r="G13" s="5"/>
      <c r="H13" s="5"/>
      <c r="I13" s="25" t="s">
        <v>20</v>
      </c>
      <c r="J13" s="26" t="s">
        <v>40</v>
      </c>
      <c r="K13" s="4"/>
      <c r="L13" s="5"/>
    </row>
    <row r="14" spans="1:29" x14ac:dyDescent="0.3">
      <c r="A14" s="5"/>
      <c r="B14" s="64" t="s">
        <v>12</v>
      </c>
      <c r="C14" s="64"/>
      <c r="D14" s="5"/>
      <c r="E14" s="5"/>
      <c r="F14" s="5"/>
      <c r="G14" s="5"/>
      <c r="H14" s="5"/>
      <c r="I14" s="5"/>
      <c r="J14" s="5"/>
      <c r="K14" s="5"/>
      <c r="L14" s="5"/>
      <c r="M14" s="2"/>
    </row>
    <row r="15" spans="1:29" ht="15.6" x14ac:dyDescent="0.35">
      <c r="A15" s="5"/>
      <c r="B15" s="7" t="s">
        <v>55</v>
      </c>
      <c r="C15" s="7" t="s">
        <v>10</v>
      </c>
      <c r="D15" s="27">
        <f>$J$9*D11/1000</f>
        <v>0.43262379212492635</v>
      </c>
      <c r="E15" s="27">
        <f>$J$9*E11/1000</f>
        <v>0.42</v>
      </c>
      <c r="F15" s="5"/>
      <c r="G15" s="5"/>
      <c r="H15" s="5"/>
      <c r="I15" s="5"/>
      <c r="J15" s="5"/>
      <c r="K15" s="5"/>
      <c r="L15" s="5"/>
      <c r="M15" s="2"/>
      <c r="Q15" s="1"/>
    </row>
    <row r="16" spans="1:29" x14ac:dyDescent="0.3">
      <c r="A16" s="5"/>
      <c r="B16" s="5"/>
      <c r="C16" s="5"/>
      <c r="D16" s="5"/>
      <c r="E16" s="5"/>
      <c r="F16" s="5"/>
      <c r="G16" s="5"/>
      <c r="H16" s="5"/>
      <c r="I16" s="5" t="s">
        <v>26</v>
      </c>
      <c r="J16" s="5"/>
      <c r="K16" s="5"/>
      <c r="L16" s="5"/>
      <c r="M16" s="2"/>
      <c r="Q16" s="1"/>
    </row>
    <row r="17" spans="1:17" x14ac:dyDescent="0.3">
      <c r="A17" s="5"/>
      <c r="B17" s="64" t="s">
        <v>13</v>
      </c>
      <c r="C17" s="64"/>
      <c r="D17" s="5"/>
      <c r="E17" s="5"/>
      <c r="F17" s="5"/>
      <c r="G17" s="5"/>
      <c r="H17" s="5"/>
      <c r="I17" s="5" t="s">
        <v>56</v>
      </c>
      <c r="J17" s="5"/>
      <c r="K17" s="5"/>
      <c r="L17" s="5"/>
      <c r="M17" s="2"/>
      <c r="Q17" s="1"/>
    </row>
    <row r="18" spans="1:17" ht="15.6" x14ac:dyDescent="0.35">
      <c r="A18" s="5"/>
      <c r="B18" s="7" t="s">
        <v>57</v>
      </c>
      <c r="C18" s="7" t="s">
        <v>10</v>
      </c>
      <c r="D18" s="27">
        <f>$D$7*D11/1000</f>
        <v>0.24721359549995794</v>
      </c>
      <c r="E18" s="27">
        <f>$D$7*E11/1000</f>
        <v>0.24</v>
      </c>
      <c r="F18" s="5"/>
      <c r="G18" s="5"/>
      <c r="H18" s="5"/>
      <c r="I18" s="5" t="s">
        <v>58</v>
      </c>
      <c r="J18" s="5"/>
      <c r="K18" s="5"/>
      <c r="L18" s="5"/>
      <c r="M18" s="2"/>
      <c r="Q18" s="1"/>
    </row>
    <row r="19" spans="1:17" ht="15.6" x14ac:dyDescent="0.35">
      <c r="A19" s="5"/>
      <c r="B19" s="7" t="s">
        <v>59</v>
      </c>
      <c r="C19" s="7" t="s">
        <v>10</v>
      </c>
      <c r="D19" s="27">
        <f>D18/SQRT(2)</f>
        <v>0.17480640977952841</v>
      </c>
      <c r="E19" s="27">
        <f>E18/SQRT(2)</f>
        <v>0.16970562748477139</v>
      </c>
      <c r="F19" s="5"/>
      <c r="G19" s="5"/>
      <c r="H19" s="5"/>
      <c r="I19" s="5"/>
      <c r="J19" s="5"/>
      <c r="K19" s="5"/>
      <c r="L19" s="5"/>
      <c r="M19" s="2"/>
      <c r="Q19" s="1"/>
    </row>
    <row r="20" spans="1:17" ht="19.2" customHeight="1" x14ac:dyDescent="0.3">
      <c r="A20" s="5"/>
      <c r="B20" s="63" t="s">
        <v>60</v>
      </c>
      <c r="C20" s="7" t="s">
        <v>18</v>
      </c>
      <c r="D20" s="20">
        <f>2/D18</f>
        <v>8.0901699437494745</v>
      </c>
      <c r="E20" s="20">
        <f>2/E18</f>
        <v>8.3333333333333339</v>
      </c>
      <c r="F20" s="5"/>
      <c r="G20" s="5"/>
      <c r="H20" s="5"/>
      <c r="I20" s="5"/>
      <c r="J20" s="5"/>
      <c r="K20" s="5"/>
      <c r="L20" s="5"/>
      <c r="M20" s="2"/>
      <c r="Q20" s="1"/>
    </row>
    <row r="21" spans="1:17" ht="19.2" customHeight="1" x14ac:dyDescent="0.3">
      <c r="A21" s="5"/>
      <c r="B21" s="63"/>
      <c r="C21" s="7" t="s">
        <v>19</v>
      </c>
      <c r="D21" s="20">
        <f>20*LOG10(D20)</f>
        <v>18.159152891719952</v>
      </c>
      <c r="E21" s="20">
        <f>20*LOG10(E20)</f>
        <v>18.416375079047505</v>
      </c>
      <c r="F21" s="5"/>
      <c r="G21" s="5"/>
      <c r="H21" s="5"/>
      <c r="I21" s="5"/>
      <c r="J21" s="5"/>
      <c r="K21" s="5"/>
      <c r="L21" s="5"/>
      <c r="Q21" s="1"/>
    </row>
    <row r="22" spans="1:17" x14ac:dyDescent="0.3">
      <c r="A22" s="5"/>
      <c r="B22" s="5"/>
      <c r="C22" s="4"/>
      <c r="D22" s="4"/>
      <c r="E22" s="4"/>
      <c r="F22" s="5"/>
      <c r="G22" s="5"/>
      <c r="H22" s="5"/>
      <c r="I22" s="5"/>
      <c r="J22" s="5"/>
      <c r="K22" s="5"/>
      <c r="L22" s="5"/>
    </row>
  </sheetData>
  <sheetProtection algorithmName="SHA-512" hashValue="9OgGtjUm0PjDl8vJwRK09qywxAbO+0II24/V8aTcEeW8y2M7xLDmiYq6kVKpFzDJis5UeSRPf0ZeF0wfzCPLKA==" saltValue="yblXeRX/ShNJVG0ae66WcA==" spinCount="100000" sheet="1" objects="1" scenarios="1" selectLockedCells="1"/>
  <mergeCells count="9">
    <mergeCell ref="B20:B21"/>
    <mergeCell ref="B9:C9"/>
    <mergeCell ref="F10:F11"/>
    <mergeCell ref="B14:C14"/>
    <mergeCell ref="B2:I2"/>
    <mergeCell ref="I5:I6"/>
    <mergeCell ref="J5:L5"/>
    <mergeCell ref="E6:E7"/>
    <mergeCell ref="B17:C17"/>
  </mergeCells>
  <pageMargins left="0.7" right="0.7" top="0.78740157499999996" bottom="0.78740157499999996" header="0.3" footer="0.3"/>
  <pageSetup paperSize="9" orientation="landscape" horizontalDpi="0" verticalDpi="0" r:id="rId1"/>
  <headerFooter>
    <oddHeader>&amp;R&amp;"Myriad Pro,Fett"&amp;12TUBECLINIC
Linz / Austria</oddHeader>
    <oddFooter>&amp;L&amp;"Aptos Narrow,Standard"© by Barbara E. Gerhold; TUBECLINIC - Linz/Austria
created 13-06-2025&amp;C&amp;"Aptos Narrow,Standard"page &amp;P of &amp;N
&amp;F&amp;R&amp;"Aptos Narrow,Standard"printed: 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D58A4-DB27-46ED-8F81-D958514B0E66}">
  <sheetPr>
    <pageSetUpPr fitToPage="1"/>
  </sheetPr>
  <dimension ref="B1:AC23"/>
  <sheetViews>
    <sheetView zoomScaleNormal="100" workbookViewId="0">
      <selection activeCell="D5" sqref="D5"/>
    </sheetView>
  </sheetViews>
  <sheetFormatPr baseColWidth="10" defaultColWidth="8.88671875" defaultRowHeight="14.4" x14ac:dyDescent="0.3"/>
  <cols>
    <col min="1" max="1" width="4.6640625" style="5" customWidth="1"/>
    <col min="2" max="2" width="13.33203125" style="5" customWidth="1"/>
    <col min="3" max="5" width="13.33203125" style="4" customWidth="1"/>
    <col min="6" max="6" width="10.33203125" style="5" customWidth="1"/>
    <col min="7" max="7" width="5.21875" style="5" customWidth="1"/>
    <col min="8" max="8" width="2.6640625" style="5" customWidth="1"/>
    <col min="9" max="9" width="11.44140625" style="5" customWidth="1"/>
    <col min="10" max="10" width="11.44140625" style="4" customWidth="1"/>
    <col min="11" max="14" width="11.44140625" style="5" customWidth="1"/>
    <col min="15" max="16" width="11.44140625" style="4" customWidth="1"/>
    <col min="17" max="18" width="8.88671875" style="4"/>
    <col min="19" max="28" width="8.88671875" style="5"/>
    <col min="29" max="29" width="2.6640625" style="5" customWidth="1"/>
    <col min="30" max="16384" width="8.88671875" style="5"/>
  </cols>
  <sheetData>
    <row r="1" spans="2:29" x14ac:dyDescent="0.3">
      <c r="AC1" s="28">
        <f>2*SIN(18*PI()/180)</f>
        <v>0.61803398874989479</v>
      </c>
    </row>
    <row r="2" spans="2:29" s="39" customFormat="1" ht="24.6" customHeight="1" x14ac:dyDescent="0.3">
      <c r="B2" s="70" t="s">
        <v>68</v>
      </c>
      <c r="C2" s="70"/>
      <c r="D2" s="70"/>
      <c r="E2" s="70"/>
      <c r="F2" s="70"/>
      <c r="G2" s="70"/>
      <c r="H2" s="70"/>
      <c r="I2" s="70"/>
      <c r="J2" s="40"/>
      <c r="O2" s="41"/>
      <c r="P2" s="41"/>
      <c r="Q2" s="41"/>
      <c r="R2" s="41"/>
    </row>
    <row r="3" spans="2:29" s="6" customFormat="1" ht="18" x14ac:dyDescent="0.35">
      <c r="J3" s="42"/>
    </row>
    <row r="4" spans="2:29" ht="15" thickBot="1" x14ac:dyDescent="0.35"/>
    <row r="5" spans="2:29" ht="15.6" x14ac:dyDescent="0.35">
      <c r="B5" s="7" t="s">
        <v>49</v>
      </c>
      <c r="C5" s="7" t="s">
        <v>0</v>
      </c>
      <c r="D5" s="8">
        <v>1470</v>
      </c>
      <c r="E5" s="5" t="s">
        <v>22</v>
      </c>
      <c r="I5" s="57" t="s">
        <v>4</v>
      </c>
      <c r="J5" s="68" t="s">
        <v>43</v>
      </c>
      <c r="K5" s="59" t="s">
        <v>45</v>
      </c>
      <c r="L5" s="60"/>
      <c r="M5" s="72"/>
      <c r="N5" s="59" t="s">
        <v>46</v>
      </c>
      <c r="O5" s="60"/>
      <c r="P5" s="61"/>
      <c r="Q5" s="5"/>
      <c r="R5" s="5"/>
    </row>
    <row r="6" spans="2:29" ht="20.399999999999999" customHeight="1" x14ac:dyDescent="0.35">
      <c r="B6" s="7" t="s">
        <v>64</v>
      </c>
      <c r="C6" s="7" t="s">
        <v>10</v>
      </c>
      <c r="D6" s="9">
        <v>1.65</v>
      </c>
      <c r="E6" s="62" t="s">
        <v>30</v>
      </c>
      <c r="I6" s="71"/>
      <c r="J6" s="69"/>
      <c r="K6" s="32" t="s">
        <v>64</v>
      </c>
      <c r="L6" s="32" t="s">
        <v>67</v>
      </c>
      <c r="M6" s="32" t="s">
        <v>69</v>
      </c>
      <c r="N6" s="32" t="s">
        <v>64</v>
      </c>
      <c r="O6" s="32" t="s">
        <v>67</v>
      </c>
      <c r="P6" s="43" t="s">
        <v>69</v>
      </c>
      <c r="Q6" s="5"/>
      <c r="R6" s="5"/>
    </row>
    <row r="7" spans="2:29" ht="16.2" thickBot="1" x14ac:dyDescent="0.4">
      <c r="B7" s="7" t="s">
        <v>67</v>
      </c>
      <c r="C7" s="7" t="s">
        <v>10</v>
      </c>
      <c r="D7" s="9">
        <v>1.4</v>
      </c>
      <c r="E7" s="63"/>
      <c r="I7" s="44"/>
      <c r="J7" s="45" t="s">
        <v>10</v>
      </c>
      <c r="K7" s="45" t="s">
        <v>10</v>
      </c>
      <c r="L7" s="45" t="s">
        <v>10</v>
      </c>
      <c r="M7" s="45" t="s">
        <v>70</v>
      </c>
      <c r="N7" s="45" t="s">
        <v>10</v>
      </c>
      <c r="O7" s="45" t="s">
        <v>10</v>
      </c>
      <c r="P7" s="46" t="s">
        <v>70</v>
      </c>
      <c r="Q7" s="5"/>
      <c r="R7" s="5"/>
    </row>
    <row r="8" spans="2:29" x14ac:dyDescent="0.3">
      <c r="C8" s="5"/>
      <c r="D8" s="5"/>
      <c r="E8" s="5"/>
      <c r="I8" s="47" t="s">
        <v>42</v>
      </c>
      <c r="J8" s="13"/>
      <c r="K8" s="48">
        <v>1.65</v>
      </c>
      <c r="L8" s="48">
        <v>1.4</v>
      </c>
      <c r="M8" s="49">
        <v>450</v>
      </c>
      <c r="N8" s="48">
        <v>1.65</v>
      </c>
      <c r="O8" s="48">
        <v>1.4</v>
      </c>
      <c r="P8" s="49">
        <v>450</v>
      </c>
      <c r="Q8" s="5"/>
      <c r="R8" s="5"/>
    </row>
    <row r="9" spans="2:29" x14ac:dyDescent="0.3">
      <c r="B9" s="65" t="s">
        <v>21</v>
      </c>
      <c r="C9" s="65"/>
      <c r="D9" s="16" t="s">
        <v>32</v>
      </c>
      <c r="E9" s="16" t="s">
        <v>22</v>
      </c>
      <c r="F9" s="17" t="s">
        <v>24</v>
      </c>
      <c r="I9" s="14"/>
      <c r="J9" s="7"/>
      <c r="K9" s="14"/>
      <c r="L9" s="14"/>
      <c r="M9" s="50"/>
      <c r="N9" s="14"/>
      <c r="O9" s="7"/>
      <c r="P9" s="34"/>
      <c r="Q9" s="5"/>
      <c r="R9" s="5"/>
    </row>
    <row r="10" spans="2:29" x14ac:dyDescent="0.3">
      <c r="B10" s="7" t="s">
        <v>28</v>
      </c>
      <c r="C10" s="7" t="s">
        <v>0</v>
      </c>
      <c r="D10" s="18">
        <f>D5/(2+AC1)</f>
        <v>561.49003653765453</v>
      </c>
      <c r="E10" s="19">
        <v>560</v>
      </c>
      <c r="F10" s="66">
        <f>(E11+2*E12)/(E10+E11+2*E12)/AC1</f>
        <v>1.0058049119256103</v>
      </c>
      <c r="I10" s="14"/>
      <c r="J10" s="7"/>
      <c r="K10" s="15"/>
      <c r="L10" s="15"/>
      <c r="M10" s="34"/>
      <c r="N10" s="15"/>
      <c r="O10" s="15"/>
      <c r="P10" s="34"/>
      <c r="Q10" s="5"/>
      <c r="R10" s="5"/>
    </row>
    <row r="11" spans="2:29" x14ac:dyDescent="0.3">
      <c r="B11" s="7" t="s">
        <v>29</v>
      </c>
      <c r="C11" s="7" t="s">
        <v>0</v>
      </c>
      <c r="D11" s="18">
        <f>D10</f>
        <v>561.49003653765453</v>
      </c>
      <c r="E11" s="19">
        <v>560</v>
      </c>
      <c r="F11" s="66"/>
      <c r="I11" s="14" t="s">
        <v>44</v>
      </c>
      <c r="J11" s="7">
        <v>5</v>
      </c>
      <c r="K11" s="15">
        <f>J11/2</f>
        <v>2.5</v>
      </c>
      <c r="L11" s="15">
        <f>1.34*J11/2</f>
        <v>3.35</v>
      </c>
      <c r="M11" s="34">
        <v>1000</v>
      </c>
      <c r="N11" s="15">
        <f>J11/2</f>
        <v>2.5</v>
      </c>
      <c r="O11" s="15">
        <f>0.96*J11/2</f>
        <v>2.4</v>
      </c>
      <c r="P11" s="34">
        <v>1000</v>
      </c>
      <c r="Q11" s="5"/>
      <c r="R11" s="5"/>
    </row>
    <row r="12" spans="2:29" x14ac:dyDescent="0.3">
      <c r="B12" s="7" t="s">
        <v>27</v>
      </c>
      <c r="C12" s="7" t="s">
        <v>0</v>
      </c>
      <c r="D12" s="18">
        <f>D11*AC1/2</f>
        <v>173.50996346234541</v>
      </c>
      <c r="E12" s="19">
        <v>180</v>
      </c>
      <c r="F12" s="66"/>
      <c r="N12" s="4"/>
      <c r="O12" s="5"/>
      <c r="P12" s="5"/>
      <c r="Q12" s="5"/>
    </row>
    <row r="13" spans="2:29" x14ac:dyDescent="0.3">
      <c r="B13" s="7" t="s">
        <v>14</v>
      </c>
      <c r="C13" s="7" t="s">
        <v>15</v>
      </c>
      <c r="D13" s="20">
        <f>1000000000/(88000*2*PI()*2*D11)</f>
        <v>1.6105173565713411</v>
      </c>
      <c r="E13" s="21">
        <v>1.56</v>
      </c>
      <c r="F13" s="22">
        <f>1000000000/(2*PI()*2*E11*E13)</f>
        <v>91091.428051680021</v>
      </c>
      <c r="G13" s="67" t="s">
        <v>23</v>
      </c>
      <c r="H13" s="24"/>
      <c r="K13" s="4"/>
      <c r="L13" s="4"/>
      <c r="M13" s="4"/>
      <c r="O13" s="5"/>
      <c r="P13" s="5"/>
    </row>
    <row r="14" spans="2:29" x14ac:dyDescent="0.3">
      <c r="B14" s="7" t="s">
        <v>17</v>
      </c>
      <c r="C14" s="7" t="s">
        <v>16</v>
      </c>
      <c r="D14" s="20">
        <f>1000000/(10*2*PI()*D12)</f>
        <v>91.726688148623026</v>
      </c>
      <c r="E14" s="8">
        <v>100</v>
      </c>
      <c r="F14" s="37">
        <f>1000000/(2*PI()*E12*E14)</f>
        <v>8.8419412828830737</v>
      </c>
      <c r="G14" s="67"/>
      <c r="H14" s="24"/>
    </row>
    <row r="15" spans="2:29" ht="18" x14ac:dyDescent="0.35">
      <c r="C15" s="5"/>
      <c r="D15" s="5"/>
      <c r="E15" s="5"/>
      <c r="I15" s="25" t="s">
        <v>20</v>
      </c>
      <c r="J15" s="25"/>
      <c r="K15" s="26" t="s">
        <v>40</v>
      </c>
      <c r="L15" s="4"/>
    </row>
    <row r="16" spans="2:29" x14ac:dyDescent="0.3">
      <c r="B16" s="64" t="s">
        <v>12</v>
      </c>
      <c r="C16" s="64"/>
      <c r="D16" s="5"/>
      <c r="E16" s="5"/>
      <c r="N16" s="4"/>
    </row>
    <row r="17" spans="2:18" ht="15.6" x14ac:dyDescent="0.35">
      <c r="B17" s="7" t="s">
        <v>55</v>
      </c>
      <c r="C17" s="7" t="s">
        <v>10</v>
      </c>
      <c r="D17" s="27">
        <f>($D$6/(D10+D11+2*D12))*(D11+2*D12)</f>
        <v>1.0197560814373263</v>
      </c>
      <c r="E17" s="27">
        <f>($D$6/(E10+E11+2*E12))*(E11+2*E12)</f>
        <v>1.0256756756756755</v>
      </c>
      <c r="N17" s="4"/>
      <c r="R17" s="5"/>
    </row>
    <row r="18" spans="2:18" x14ac:dyDescent="0.3">
      <c r="C18" s="5"/>
      <c r="D18" s="5"/>
      <c r="E18" s="5"/>
      <c r="I18" s="5" t="s">
        <v>26</v>
      </c>
      <c r="N18" s="4"/>
      <c r="R18" s="5"/>
    </row>
    <row r="19" spans="2:18" x14ac:dyDescent="0.3">
      <c r="B19" s="64" t="s">
        <v>13</v>
      </c>
      <c r="C19" s="64"/>
      <c r="D19" s="5"/>
      <c r="E19" s="5"/>
      <c r="I19" s="5" t="s">
        <v>56</v>
      </c>
      <c r="N19" s="4"/>
      <c r="R19" s="5"/>
    </row>
    <row r="20" spans="2:18" ht="15.6" x14ac:dyDescent="0.35">
      <c r="B20" s="7" t="s">
        <v>57</v>
      </c>
      <c r="C20" s="7" t="s">
        <v>10</v>
      </c>
      <c r="D20" s="27">
        <f>$D$7/2</f>
        <v>0.7</v>
      </c>
      <c r="E20" s="27">
        <f>$D$7/2</f>
        <v>0.7</v>
      </c>
      <c r="I20" s="5" t="s">
        <v>58</v>
      </c>
      <c r="N20" s="4"/>
      <c r="R20" s="5"/>
    </row>
    <row r="21" spans="2:18" ht="15.6" x14ac:dyDescent="0.35">
      <c r="B21" s="7" t="s">
        <v>59</v>
      </c>
      <c r="C21" s="7" t="s">
        <v>10</v>
      </c>
      <c r="D21" s="27">
        <f>$D$7/2/SQRT(2)</f>
        <v>0.49497474683058318</v>
      </c>
      <c r="E21" s="27">
        <f>$D$7/2/SQRT(2)</f>
        <v>0.49497474683058318</v>
      </c>
      <c r="N21" s="4"/>
      <c r="R21" s="5"/>
    </row>
    <row r="22" spans="2:18" ht="17.399999999999999" customHeight="1" x14ac:dyDescent="0.3">
      <c r="B22" s="63" t="s">
        <v>60</v>
      </c>
      <c r="C22" s="7" t="s">
        <v>18</v>
      </c>
      <c r="D22" s="20">
        <f>2/D20</f>
        <v>2.8571428571428572</v>
      </c>
      <c r="E22" s="20">
        <f>2/E20</f>
        <v>2.8571428571428572</v>
      </c>
      <c r="N22" s="4"/>
      <c r="R22" s="5"/>
    </row>
    <row r="23" spans="2:18" ht="17.399999999999999" customHeight="1" x14ac:dyDescent="0.3">
      <c r="B23" s="63"/>
      <c r="C23" s="7" t="s">
        <v>19</v>
      </c>
      <c r="D23" s="20">
        <f>20*LOG10(D22)</f>
        <v>9.1186391129944884</v>
      </c>
      <c r="E23" s="20">
        <f>20*LOG10(E22)</f>
        <v>9.1186391129944884</v>
      </c>
      <c r="R23" s="5"/>
    </row>
  </sheetData>
  <sheetProtection algorithmName="SHA-512" hashValue="ypYoi9fZ/+9pBdCnKQCFQlI9oWZgZhXIZCr8CJ8CrpRFcUesia/qQwcK1cq9JGKgEqm5PwN6fIxZPdPZJC6HHQ==" saltValue="80oC7PGnP3PNRW0XgSuwUQ==" spinCount="100000" sheet="1" objects="1" scenarios="1" selectLockedCells="1"/>
  <mergeCells count="12">
    <mergeCell ref="B9:C9"/>
    <mergeCell ref="N5:P5"/>
    <mergeCell ref="J5:J6"/>
    <mergeCell ref="B2:I2"/>
    <mergeCell ref="I5:I6"/>
    <mergeCell ref="K5:M5"/>
    <mergeCell ref="E6:E7"/>
    <mergeCell ref="F10:F12"/>
    <mergeCell ref="G13:G14"/>
    <mergeCell ref="B16:C16"/>
    <mergeCell ref="B19:C19"/>
    <mergeCell ref="B22:B23"/>
  </mergeCells>
  <pageMargins left="0.7" right="0.7" top="0.78740157499999996" bottom="0.78740157499999996" header="0.3" footer="0.3"/>
  <pageSetup paperSize="9" scale="47" orientation="landscape" r:id="rId1"/>
  <headerFooter>
    <oddHeader>&amp;R&amp;"Myriad Pro,Fett"&amp;12TUBECLINIC
Linz / Austria</oddHeader>
    <oddFooter>&amp;L&amp;"Aptos Narrow,Standard"© by Barbara E. Gerhold; TUBECLINIC - Linz/Austria
created 13-06-2025&amp;C&amp;"Aptos Narrow,Standard"page &amp;P of &amp;N
&amp;F&amp;R&amp;"Aptos Narrow,Standard"printed: 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24"/>
  <sheetViews>
    <sheetView zoomScaleNormal="100" workbookViewId="0">
      <selection activeCell="D6" sqref="D6"/>
    </sheetView>
  </sheetViews>
  <sheetFormatPr baseColWidth="10" defaultColWidth="8.88671875" defaultRowHeight="14.4" x14ac:dyDescent="0.3"/>
  <cols>
    <col min="1" max="1" width="4.6640625" style="5" customWidth="1"/>
    <col min="2" max="2" width="10.77734375" style="5" customWidth="1"/>
    <col min="3" max="3" width="10" style="4" customWidth="1"/>
    <col min="4" max="4" width="8.5546875" style="4" customWidth="1"/>
    <col min="5" max="5" width="8.77734375" style="4" customWidth="1"/>
    <col min="6" max="6" width="9.21875" style="5" customWidth="1"/>
    <col min="7" max="7" width="4.6640625" style="5" customWidth="1"/>
    <col min="8" max="8" width="1" style="5" customWidth="1"/>
    <col min="9" max="9" width="12" style="5" customWidth="1"/>
    <col min="10" max="13" width="8.33203125" style="5" customWidth="1"/>
    <col min="14" max="16" width="8.33203125" style="4" customWidth="1"/>
    <col min="17" max="17" width="8.88671875" style="4"/>
    <col min="18" max="28" width="8.88671875" style="5"/>
    <col min="29" max="29" width="2.21875" style="5" customWidth="1"/>
    <col min="30" max="16384" width="8.88671875" style="5"/>
  </cols>
  <sheetData>
    <row r="1" spans="2:29" x14ac:dyDescent="0.3">
      <c r="AC1" s="28">
        <f>2*SIN(18*PI()/180)</f>
        <v>0.61803398874989479</v>
      </c>
    </row>
    <row r="2" spans="2:29" ht="18" x14ac:dyDescent="0.35">
      <c r="B2" s="56" t="s">
        <v>25</v>
      </c>
      <c r="C2" s="56"/>
      <c r="D2" s="56"/>
      <c r="E2" s="56"/>
      <c r="F2" s="56"/>
      <c r="G2" s="56"/>
      <c r="H2" s="56"/>
      <c r="I2" s="56"/>
      <c r="J2" s="56"/>
    </row>
    <row r="3" spans="2:29" s="29" customFormat="1" ht="18" x14ac:dyDescent="0.35"/>
    <row r="4" spans="2:29" s="29" customFormat="1" ht="20.399999999999999" x14ac:dyDescent="0.45">
      <c r="B4" s="29" t="s">
        <v>61</v>
      </c>
    </row>
    <row r="6" spans="2:29" ht="15.6" x14ac:dyDescent="0.35">
      <c r="B6" s="7" t="s">
        <v>62</v>
      </c>
      <c r="C6" s="7" t="s">
        <v>0</v>
      </c>
      <c r="D6" s="8">
        <v>774</v>
      </c>
      <c r="E6" s="30"/>
      <c r="I6" s="78" t="s">
        <v>4</v>
      </c>
      <c r="J6" s="73" t="s">
        <v>63</v>
      </c>
      <c r="K6" s="74"/>
      <c r="L6" s="74"/>
      <c r="M6" s="75"/>
      <c r="N6" s="73" t="s">
        <v>31</v>
      </c>
      <c r="O6" s="74"/>
      <c r="P6" s="75"/>
    </row>
    <row r="7" spans="2:29" ht="29.4" customHeight="1" x14ac:dyDescent="0.35">
      <c r="B7" s="7" t="s">
        <v>64</v>
      </c>
      <c r="C7" s="7" t="s">
        <v>10</v>
      </c>
      <c r="D7" s="9">
        <v>1.65</v>
      </c>
      <c r="E7" s="76" t="s">
        <v>30</v>
      </c>
      <c r="I7" s="69"/>
      <c r="J7" s="31" t="s">
        <v>5</v>
      </c>
      <c r="K7" s="32" t="s">
        <v>9</v>
      </c>
      <c r="L7" s="32" t="s">
        <v>8</v>
      </c>
      <c r="M7" s="33" t="s">
        <v>7</v>
      </c>
      <c r="N7" s="32" t="s">
        <v>64</v>
      </c>
      <c r="O7" s="32" t="s">
        <v>65</v>
      </c>
      <c r="P7" s="32" t="s">
        <v>66</v>
      </c>
    </row>
    <row r="8" spans="2:29" ht="15.6" x14ac:dyDescent="0.35">
      <c r="B8" s="7" t="s">
        <v>67</v>
      </c>
      <c r="C8" s="7" t="s">
        <v>10</v>
      </c>
      <c r="D8" s="9">
        <v>1.49</v>
      </c>
      <c r="E8" s="77"/>
      <c r="I8" s="12"/>
      <c r="J8" s="7" t="s">
        <v>0</v>
      </c>
      <c r="K8" s="7" t="s">
        <v>0</v>
      </c>
      <c r="L8" s="7" t="s">
        <v>0</v>
      </c>
      <c r="M8" s="7" t="s">
        <v>0</v>
      </c>
      <c r="N8" s="7" t="s">
        <v>10</v>
      </c>
      <c r="O8" s="7" t="s">
        <v>10</v>
      </c>
      <c r="P8" s="7" t="s">
        <v>11</v>
      </c>
    </row>
    <row r="9" spans="2:29" x14ac:dyDescent="0.3">
      <c r="C9" s="5"/>
      <c r="D9" s="30"/>
      <c r="E9" s="30"/>
      <c r="I9" s="14" t="s">
        <v>1</v>
      </c>
      <c r="J9" s="34">
        <v>834</v>
      </c>
      <c r="K9" s="34">
        <f>J9/2</f>
        <v>417</v>
      </c>
      <c r="L9" s="34">
        <f t="shared" ref="L9:M9" si="0">K9/2</f>
        <v>208.5</v>
      </c>
      <c r="M9" s="34">
        <f t="shared" si="0"/>
        <v>104.25</v>
      </c>
      <c r="N9" s="15">
        <v>1.65</v>
      </c>
      <c r="O9" s="15">
        <f>3.05/2</f>
        <v>1.5249999999999999</v>
      </c>
      <c r="P9" s="15">
        <v>3.9</v>
      </c>
    </row>
    <row r="10" spans="2:29" x14ac:dyDescent="0.3">
      <c r="B10" s="65" t="s">
        <v>21</v>
      </c>
      <c r="C10" s="65"/>
      <c r="D10" s="35" t="s">
        <v>32</v>
      </c>
      <c r="E10" s="35" t="s">
        <v>22</v>
      </c>
      <c r="F10" s="17" t="s">
        <v>24</v>
      </c>
      <c r="I10" s="14" t="s">
        <v>2</v>
      </c>
      <c r="J10" s="34">
        <v>774</v>
      </c>
      <c r="K10" s="34" t="s">
        <v>6</v>
      </c>
      <c r="L10" s="34" t="s">
        <v>6</v>
      </c>
      <c r="M10" s="34" t="s">
        <v>6</v>
      </c>
      <c r="N10" s="15">
        <v>1.65</v>
      </c>
      <c r="O10" s="15">
        <f>3.3*0.9*0.5</f>
        <v>1.4849999999999999</v>
      </c>
      <c r="P10" s="15">
        <f>1000*O10/J10</f>
        <v>1.9186046511627903</v>
      </c>
    </row>
    <row r="11" spans="2:29" x14ac:dyDescent="0.3">
      <c r="B11" s="7" t="s">
        <v>28</v>
      </c>
      <c r="C11" s="7" t="s">
        <v>0</v>
      </c>
      <c r="D11" s="18">
        <f>D6</f>
        <v>774</v>
      </c>
      <c r="E11" s="36">
        <f>D6</f>
        <v>774</v>
      </c>
      <c r="F11" s="66">
        <f>(E12+2*E13)/(E11+E12+2*E13)/AC1</f>
        <v>0.99927988435640747</v>
      </c>
      <c r="I11" s="14" t="s">
        <v>3</v>
      </c>
      <c r="J11" s="34">
        <v>202</v>
      </c>
      <c r="K11" s="34">
        <f>J11/2</f>
        <v>101</v>
      </c>
      <c r="L11" s="34">
        <f t="shared" ref="L11:M11" si="1">K11/2</f>
        <v>50.5</v>
      </c>
      <c r="M11" s="34">
        <f t="shared" si="1"/>
        <v>25.25</v>
      </c>
      <c r="N11" s="15">
        <v>1.65</v>
      </c>
      <c r="O11" s="15">
        <f>0.924*3.3/2</f>
        <v>1.5246</v>
      </c>
      <c r="P11" s="15">
        <f>1000*O11/J11</f>
        <v>7.5475247524752467</v>
      </c>
    </row>
    <row r="12" spans="2:29" x14ac:dyDescent="0.3">
      <c r="B12" s="7" t="s">
        <v>29</v>
      </c>
      <c r="C12" s="7" t="s">
        <v>0</v>
      </c>
      <c r="D12" s="18">
        <f>D11</f>
        <v>774</v>
      </c>
      <c r="E12" s="19">
        <v>780</v>
      </c>
      <c r="F12" s="66"/>
      <c r="I12" s="14" t="s">
        <v>41</v>
      </c>
      <c r="J12" s="34">
        <v>390</v>
      </c>
      <c r="K12" s="34" t="s">
        <v>6</v>
      </c>
      <c r="L12" s="34" t="s">
        <v>6</v>
      </c>
      <c r="M12" s="34" t="s">
        <v>6</v>
      </c>
      <c r="N12" s="15">
        <v>1.65</v>
      </c>
      <c r="O12" s="15">
        <f>3.3*0.886*0.5</f>
        <v>1.4619</v>
      </c>
      <c r="P12" s="15">
        <f>1000*O12/J12</f>
        <v>3.7484615384615387</v>
      </c>
    </row>
    <row r="13" spans="2:29" x14ac:dyDescent="0.3">
      <c r="B13" s="7" t="s">
        <v>27</v>
      </c>
      <c r="C13" s="7" t="s">
        <v>0</v>
      </c>
      <c r="D13" s="18">
        <f>D12*AC1/2</f>
        <v>239.17915364620927</v>
      </c>
      <c r="E13" s="19">
        <v>235</v>
      </c>
      <c r="F13" s="66"/>
      <c r="M13" s="4"/>
      <c r="N13" s="5"/>
      <c r="O13" s="5"/>
      <c r="P13" s="5"/>
    </row>
    <row r="14" spans="2:29" x14ac:dyDescent="0.3">
      <c r="B14" s="7" t="s">
        <v>14</v>
      </c>
      <c r="C14" s="7" t="s">
        <v>15</v>
      </c>
      <c r="D14" s="20">
        <f>1000000000/(88000*2*PI()*2*D6)</f>
        <v>1.1683326219454382</v>
      </c>
      <c r="E14" s="21">
        <v>1.2</v>
      </c>
      <c r="F14" s="22">
        <f>1000000000/(2*PI()*2*D6*E14)</f>
        <v>85677.725609332119</v>
      </c>
      <c r="G14" s="67" t="s">
        <v>23</v>
      </c>
      <c r="H14" s="24"/>
      <c r="J14" s="4"/>
      <c r="K14" s="4"/>
      <c r="L14" s="4"/>
      <c r="N14" s="5"/>
      <c r="O14" s="5"/>
    </row>
    <row r="15" spans="2:29" x14ac:dyDescent="0.3">
      <c r="B15" s="7" t="s">
        <v>17</v>
      </c>
      <c r="C15" s="7" t="s">
        <v>16</v>
      </c>
      <c r="D15" s="20">
        <f>1000000/(10*2*PI()*D13)</f>
        <v>66.542146615049603</v>
      </c>
      <c r="E15" s="8">
        <v>63</v>
      </c>
      <c r="F15" s="37">
        <f>1000000/(2*PI()*E13*E15)</f>
        <v>10.750080587091885</v>
      </c>
      <c r="G15" s="67"/>
      <c r="H15" s="24"/>
    </row>
    <row r="16" spans="2:29" ht="18" x14ac:dyDescent="0.35">
      <c r="C16" s="5"/>
      <c r="D16" s="5"/>
      <c r="E16" s="5"/>
      <c r="I16" s="25" t="s">
        <v>20</v>
      </c>
      <c r="J16" s="26" t="s">
        <v>40</v>
      </c>
      <c r="K16" s="4"/>
    </row>
    <row r="17" spans="2:17" x14ac:dyDescent="0.3">
      <c r="B17" s="64" t="s">
        <v>12</v>
      </c>
      <c r="C17" s="64"/>
      <c r="D17" s="5"/>
      <c r="E17" s="5"/>
      <c r="M17" s="4"/>
    </row>
    <row r="18" spans="2:17" ht="15.6" x14ac:dyDescent="0.35">
      <c r="B18" s="7" t="s">
        <v>55</v>
      </c>
      <c r="C18" s="7" t="s">
        <v>10</v>
      </c>
      <c r="D18" s="27">
        <f>($D$7/(D11+D12+2*D13))*(D12+2*D13)</f>
        <v>1.0197560814373263</v>
      </c>
      <c r="E18" s="27">
        <f>($D$7/(E11+E12+2*E13))*(E12+2*E13)</f>
        <v>1.0190217391304348</v>
      </c>
      <c r="M18" s="4"/>
      <c r="Q18" s="5"/>
    </row>
    <row r="19" spans="2:17" x14ac:dyDescent="0.3">
      <c r="C19" s="5"/>
      <c r="D19" s="5"/>
      <c r="E19" s="5"/>
      <c r="I19" s="5" t="s">
        <v>26</v>
      </c>
      <c r="M19" s="4"/>
      <c r="Q19" s="5"/>
    </row>
    <row r="20" spans="2:17" x14ac:dyDescent="0.3">
      <c r="B20" s="64" t="s">
        <v>13</v>
      </c>
      <c r="C20" s="64"/>
      <c r="D20" s="5"/>
      <c r="E20" s="5"/>
      <c r="I20" s="5" t="s">
        <v>56</v>
      </c>
      <c r="M20" s="4"/>
      <c r="Q20" s="5"/>
    </row>
    <row r="21" spans="2:17" ht="15.6" x14ac:dyDescent="0.35">
      <c r="B21" s="7" t="s">
        <v>57</v>
      </c>
      <c r="C21" s="7" t="s">
        <v>10</v>
      </c>
      <c r="D21" s="27">
        <f>$D$8/2</f>
        <v>0.745</v>
      </c>
      <c r="E21" s="27">
        <f>$D$8/2</f>
        <v>0.745</v>
      </c>
      <c r="I21" s="38" t="s">
        <v>58</v>
      </c>
      <c r="M21" s="4"/>
      <c r="Q21" s="5"/>
    </row>
    <row r="22" spans="2:17" ht="15.6" x14ac:dyDescent="0.35">
      <c r="B22" s="7" t="s">
        <v>59</v>
      </c>
      <c r="C22" s="7" t="s">
        <v>10</v>
      </c>
      <c r="D22" s="27">
        <f>$D$8/2/SQRT(2)</f>
        <v>0.52679455198397784</v>
      </c>
      <c r="E22" s="27">
        <f>$D$8/2/SQRT(2)</f>
        <v>0.52679455198397784</v>
      </c>
      <c r="M22" s="4"/>
      <c r="Q22" s="5"/>
    </row>
    <row r="23" spans="2:17" x14ac:dyDescent="0.3">
      <c r="B23" s="63" t="s">
        <v>60</v>
      </c>
      <c r="C23" s="7" t="s">
        <v>18</v>
      </c>
      <c r="D23" s="20">
        <f>2/D21</f>
        <v>2.6845637583892619</v>
      </c>
      <c r="E23" s="20">
        <f>2/E21</f>
        <v>2.6845637583892619</v>
      </c>
      <c r="M23" s="4"/>
      <c r="Q23" s="5"/>
    </row>
    <row r="24" spans="2:17" x14ac:dyDescent="0.3">
      <c r="B24" s="63"/>
      <c r="C24" s="7" t="s">
        <v>19</v>
      </c>
      <c r="D24" s="20">
        <f>20*LOG10(D23)</f>
        <v>8.5774744583137679</v>
      </c>
      <c r="E24" s="20">
        <f>20*LOG10(E23)</f>
        <v>8.5774744583137679</v>
      </c>
      <c r="Q24" s="5"/>
    </row>
  </sheetData>
  <sheetProtection algorithmName="SHA-512" hashValue="dUB/A9akXl+tcva0ehetUM2OECc0cYDWVEj5tAgZ7gpNjluHya7o0rrVFekWBZ1qbykJnBMe52KgtQTyqZrn1g==" saltValue="UMUklQdQVRTGXzDaNWdtRw==" spinCount="100000" sheet="1" objects="1" scenarios="1" selectLockedCells="1"/>
  <mergeCells count="11">
    <mergeCell ref="F11:F13"/>
    <mergeCell ref="G14:G15"/>
    <mergeCell ref="B23:B24"/>
    <mergeCell ref="B17:C17"/>
    <mergeCell ref="B20:C20"/>
    <mergeCell ref="B2:J2"/>
    <mergeCell ref="J6:M6"/>
    <mergeCell ref="N6:P6"/>
    <mergeCell ref="B10:C10"/>
    <mergeCell ref="E7:E8"/>
    <mergeCell ref="I6:I7"/>
  </mergeCells>
  <phoneticPr fontId="2" type="noConversion"/>
  <pageMargins left="0.7" right="0.7" top="0.75" bottom="0.75" header="0.3" footer="0.3"/>
  <pageSetup paperSize="9" orientation="landscape" r:id="rId1"/>
  <headerFooter>
    <oddHeader>&amp;R&amp;"Myriad Pro,Fett"&amp;12TUBECLINIC
Linz / Austria</oddHeader>
    <oddFooter>&amp;L&amp;"Aptos Narrow,Standard"&amp;16©&amp;11 by Barbara E. Gerhold; TUBECLINIC - Linz/Austria
created 13-06-2025&amp;C&amp;"Aptos Narrow,Standard"page &amp;P of &amp;N
&amp;F&amp;R&amp;"Aptos Narrow,Standard"printed: &amp;D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7C99B-3D53-47A6-9B52-CFF8C027D7DF}">
  <sheetPr>
    <pageSetUpPr fitToPage="1"/>
  </sheetPr>
  <dimension ref="B1:AC37"/>
  <sheetViews>
    <sheetView tabSelected="1" zoomScaleNormal="100" workbookViewId="0">
      <selection activeCell="E23" sqref="E23"/>
    </sheetView>
  </sheetViews>
  <sheetFormatPr baseColWidth="10" defaultColWidth="8.88671875" defaultRowHeight="14.4" x14ac:dyDescent="0.3"/>
  <cols>
    <col min="1" max="1" width="4.6640625" style="5" customWidth="1"/>
    <col min="2" max="2" width="13.33203125" style="5" customWidth="1"/>
    <col min="3" max="3" width="13.33203125" style="4" customWidth="1"/>
    <col min="4" max="4" width="11.21875" style="4" customWidth="1"/>
    <col min="5" max="5" width="10.88671875" style="4" customWidth="1"/>
    <col min="6" max="6" width="9.77734375" style="5" customWidth="1"/>
    <col min="7" max="7" width="4" style="5" customWidth="1"/>
    <col min="8" max="8" width="13.109375" style="5" customWidth="1"/>
    <col min="9" max="13" width="12.5546875" style="5" customWidth="1"/>
    <col min="14" max="15" width="12.5546875" style="4" customWidth="1"/>
    <col min="16" max="17" width="8.88671875" style="4"/>
    <col min="18" max="28" width="8.88671875" style="5"/>
    <col min="29" max="29" width="2.6640625" style="5" customWidth="1"/>
    <col min="30" max="16384" width="8.88671875" style="5"/>
  </cols>
  <sheetData>
    <row r="1" spans="2:29" x14ac:dyDescent="0.3">
      <c r="AC1" s="4">
        <f>2*SIN(18*PI()/180)</f>
        <v>0.61803398874989479</v>
      </c>
    </row>
    <row r="2" spans="2:29" ht="18" x14ac:dyDescent="0.35">
      <c r="B2" s="56" t="s">
        <v>33</v>
      </c>
      <c r="C2" s="56"/>
      <c r="D2" s="56"/>
      <c r="E2" s="56"/>
      <c r="F2" s="56"/>
      <c r="G2" s="56"/>
      <c r="H2" s="56"/>
      <c r="I2" s="56"/>
    </row>
    <row r="3" spans="2:29" ht="18" x14ac:dyDescent="0.35">
      <c r="B3" s="51"/>
      <c r="C3" s="51"/>
      <c r="D3" s="51"/>
      <c r="E3" s="51"/>
      <c r="F3" s="51"/>
      <c r="G3" s="51"/>
      <c r="H3" s="51"/>
    </row>
    <row r="4" spans="2:29" ht="18" x14ac:dyDescent="0.35">
      <c r="B4" s="6" t="s">
        <v>35</v>
      </c>
      <c r="M4" s="4"/>
    </row>
    <row r="5" spans="2:29" x14ac:dyDescent="0.3">
      <c r="C5" s="5"/>
      <c r="D5" s="5"/>
      <c r="E5" s="5"/>
      <c r="N5" s="5"/>
      <c r="O5" s="5"/>
    </row>
    <row r="6" spans="2:29" x14ac:dyDescent="0.3">
      <c r="B6" s="52" t="s">
        <v>37</v>
      </c>
      <c r="C6" s="5"/>
      <c r="D6" s="5"/>
      <c r="E6" s="5"/>
      <c r="N6" s="5"/>
      <c r="Q6" s="5"/>
    </row>
    <row r="7" spans="2:29" x14ac:dyDescent="0.3">
      <c r="B7" s="7" t="s">
        <v>39</v>
      </c>
      <c r="C7" s="7" t="s">
        <v>0</v>
      </c>
      <c r="D7" s="8">
        <v>260</v>
      </c>
      <c r="E7" s="5"/>
      <c r="H7" s="14" t="s">
        <v>36</v>
      </c>
      <c r="I7" s="14" t="s">
        <v>34</v>
      </c>
      <c r="J7" s="14"/>
      <c r="K7" s="14"/>
      <c r="L7" s="14"/>
      <c r="M7" s="7"/>
      <c r="N7" s="5"/>
      <c r="Q7" s="5"/>
    </row>
    <row r="8" spans="2:29" ht="15.6" x14ac:dyDescent="0.35">
      <c r="B8" s="7" t="s">
        <v>64</v>
      </c>
      <c r="C8" s="7" t="s">
        <v>10</v>
      </c>
      <c r="D8" s="27">
        <f>$D$7*$H$10/1000</f>
        <v>1.3779999999999999</v>
      </c>
      <c r="E8" s="5"/>
      <c r="H8" s="73" t="s">
        <v>37</v>
      </c>
      <c r="I8" s="74"/>
      <c r="J8" s="75"/>
      <c r="K8" s="73" t="s">
        <v>38</v>
      </c>
      <c r="L8" s="74"/>
      <c r="M8" s="75"/>
      <c r="N8" s="5"/>
    </row>
    <row r="9" spans="2:29" ht="15.6" x14ac:dyDescent="0.35">
      <c r="B9" s="63" t="s">
        <v>71</v>
      </c>
      <c r="C9" s="63" t="s">
        <v>10</v>
      </c>
      <c r="D9" s="27">
        <f>$D$7*($H$10-$I$10)/1000</f>
        <v>0.10399999999999986</v>
      </c>
      <c r="E9" s="5"/>
      <c r="H9" s="53" t="s">
        <v>72</v>
      </c>
      <c r="I9" s="7" t="s">
        <v>73</v>
      </c>
      <c r="J9" s="7" t="s">
        <v>74</v>
      </c>
      <c r="K9" s="53" t="s">
        <v>72</v>
      </c>
      <c r="L9" s="7" t="s">
        <v>73</v>
      </c>
      <c r="M9" s="7" t="s">
        <v>74</v>
      </c>
    </row>
    <row r="10" spans="2:29" x14ac:dyDescent="0.3">
      <c r="B10" s="63"/>
      <c r="C10" s="63"/>
      <c r="D10" s="27">
        <f>$D$7*($H$10+$I$10)/1000</f>
        <v>2.6520000000000001</v>
      </c>
      <c r="E10" s="5" t="str">
        <f>IF(D10&lt;4.5,"OK","R reduzieren")</f>
        <v>OK</v>
      </c>
      <c r="H10" s="7">
        <v>5.3</v>
      </c>
      <c r="I10" s="7">
        <v>4.9000000000000004</v>
      </c>
      <c r="J10" s="54">
        <f>I10/SQRT(2)</f>
        <v>3.4648232278140827</v>
      </c>
      <c r="K10" s="7">
        <v>5.3</v>
      </c>
      <c r="L10" s="7">
        <f>5.3/2</f>
        <v>2.65</v>
      </c>
      <c r="M10" s="54">
        <f>L10/SQRT(2)</f>
        <v>1.8738329701443508</v>
      </c>
    </row>
    <row r="11" spans="2:29" ht="15.6" x14ac:dyDescent="0.35">
      <c r="B11" s="7" t="s">
        <v>75</v>
      </c>
      <c r="C11" s="7" t="s">
        <v>10</v>
      </c>
      <c r="D11" s="27">
        <f>$D$7*J10/1000</f>
        <v>0.90085403923166152</v>
      </c>
      <c r="E11" s="5"/>
      <c r="M11" s="4"/>
    </row>
    <row r="12" spans="2:29" x14ac:dyDescent="0.3">
      <c r="B12" s="52" t="s">
        <v>38</v>
      </c>
      <c r="C12" s="5"/>
      <c r="D12" s="5"/>
      <c r="E12" s="5"/>
      <c r="M12" s="4"/>
    </row>
    <row r="13" spans="2:29" ht="18" x14ac:dyDescent="0.35">
      <c r="B13" s="7" t="s">
        <v>39</v>
      </c>
      <c r="C13" s="7" t="s">
        <v>0</v>
      </c>
      <c r="D13" s="18">
        <f>D7</f>
        <v>260</v>
      </c>
      <c r="E13" s="5"/>
      <c r="H13" s="25" t="s">
        <v>20</v>
      </c>
      <c r="I13" s="26" t="s">
        <v>40</v>
      </c>
      <c r="J13" s="4"/>
    </row>
    <row r="14" spans="2:29" ht="15.6" x14ac:dyDescent="0.35">
      <c r="B14" s="7" t="s">
        <v>64</v>
      </c>
      <c r="C14" s="7" t="s">
        <v>10</v>
      </c>
      <c r="D14" s="27">
        <f>$D$13*$K$10/1000</f>
        <v>1.3779999999999999</v>
      </c>
      <c r="E14" s="5"/>
      <c r="H14" s="5" t="s">
        <v>26</v>
      </c>
      <c r="N14" s="5"/>
    </row>
    <row r="15" spans="2:29" x14ac:dyDescent="0.3">
      <c r="B15" s="63" t="s">
        <v>71</v>
      </c>
      <c r="C15" s="63" t="s">
        <v>10</v>
      </c>
      <c r="D15" s="27">
        <f>$D$13*($K$10-$L$10)/1000</f>
        <v>0.68899999999999995</v>
      </c>
      <c r="E15" s="5"/>
      <c r="H15" s="5" t="s">
        <v>56</v>
      </c>
      <c r="N15" s="5"/>
    </row>
    <row r="16" spans="2:29" x14ac:dyDescent="0.3">
      <c r="B16" s="63"/>
      <c r="C16" s="63"/>
      <c r="D16" s="27">
        <f>$D$13*($K$10+$L$10)/1000</f>
        <v>2.0670000000000002</v>
      </c>
      <c r="E16" s="5"/>
      <c r="H16" s="5" t="s">
        <v>58</v>
      </c>
      <c r="N16" s="5"/>
    </row>
    <row r="17" spans="2:17" ht="15.6" x14ac:dyDescent="0.35">
      <c r="B17" s="7" t="s">
        <v>75</v>
      </c>
      <c r="C17" s="7" t="s">
        <v>10</v>
      </c>
      <c r="D17" s="27">
        <f>D13*M10/1000</f>
        <v>0.48719657223753121</v>
      </c>
      <c r="E17" s="5"/>
      <c r="N17" s="5"/>
    </row>
    <row r="18" spans="2:17" x14ac:dyDescent="0.3">
      <c r="C18" s="5"/>
      <c r="D18" s="5"/>
      <c r="E18" s="5"/>
      <c r="N18" s="5"/>
      <c r="Q18" s="5"/>
    </row>
    <row r="19" spans="2:17" x14ac:dyDescent="0.3">
      <c r="B19" s="65" t="s">
        <v>21</v>
      </c>
      <c r="C19" s="65"/>
      <c r="D19" s="16" t="s">
        <v>32</v>
      </c>
      <c r="E19" s="16" t="s">
        <v>22</v>
      </c>
      <c r="F19" s="17" t="s">
        <v>24</v>
      </c>
      <c r="N19" s="5"/>
      <c r="Q19" s="5"/>
    </row>
    <row r="20" spans="2:17" x14ac:dyDescent="0.3">
      <c r="B20" s="7" t="s">
        <v>28</v>
      </c>
      <c r="C20" s="7" t="s">
        <v>0</v>
      </c>
      <c r="D20" s="18">
        <f>D7/ (AC1+2)</f>
        <v>99.311162925027332</v>
      </c>
      <c r="E20" s="55">
        <f>E21</f>
        <v>100</v>
      </c>
      <c r="F20" s="66">
        <f>(E21+2*E22)/(E20+E21+2*E22)/AC1</f>
        <v>1.0097505343326412</v>
      </c>
      <c r="Q20" s="5"/>
    </row>
    <row r="21" spans="2:17" x14ac:dyDescent="0.3">
      <c r="B21" s="7" t="s">
        <v>29</v>
      </c>
      <c r="C21" s="7" t="s">
        <v>0</v>
      </c>
      <c r="D21" s="18">
        <f>D20</f>
        <v>99.311162925027332</v>
      </c>
      <c r="E21" s="19">
        <v>100</v>
      </c>
      <c r="F21" s="66"/>
      <c r="Q21" s="5"/>
    </row>
    <row r="22" spans="2:17" x14ac:dyDescent="0.3">
      <c r="B22" s="7" t="s">
        <v>27</v>
      </c>
      <c r="C22" s="7" t="s">
        <v>0</v>
      </c>
      <c r="D22" s="18">
        <f>D21*AC1/2</f>
        <v>30.688837074972657</v>
      </c>
      <c r="E22" s="19">
        <v>33</v>
      </c>
      <c r="F22" s="66"/>
      <c r="Q22" s="5"/>
    </row>
    <row r="23" spans="2:17" x14ac:dyDescent="0.3">
      <c r="B23" s="7" t="s">
        <v>14</v>
      </c>
      <c r="C23" s="7" t="s">
        <v>15</v>
      </c>
      <c r="D23" s="20">
        <f>1000000000/(88000*2*PI()*2*D7)</f>
        <v>3.4780363437914197</v>
      </c>
      <c r="E23" s="21">
        <v>3.3</v>
      </c>
      <c r="F23" s="22">
        <f>1000000000/(2*PI()*2*D7*E23)</f>
        <v>92747.635834437853</v>
      </c>
      <c r="G23" s="67" t="s">
        <v>23</v>
      </c>
      <c r="Q23" s="5"/>
    </row>
    <row r="24" spans="2:17" x14ac:dyDescent="0.3">
      <c r="B24" s="7" t="s">
        <v>17</v>
      </c>
      <c r="C24" s="7" t="s">
        <v>16</v>
      </c>
      <c r="D24" s="20">
        <f>1000000/(10*2*PI()*D22)</f>
        <v>518.60858299413792</v>
      </c>
      <c r="E24" s="8">
        <v>470</v>
      </c>
      <c r="F24" s="37">
        <f>1000000/(2*PI()*E22*E24)</f>
        <v>10.261440560405889</v>
      </c>
      <c r="G24" s="67"/>
      <c r="Q24" s="5"/>
    </row>
    <row r="25" spans="2:17" x14ac:dyDescent="0.3">
      <c r="C25" s="5"/>
      <c r="D25" s="5"/>
      <c r="E25" s="5"/>
    </row>
    <row r="26" spans="2:17" x14ac:dyDescent="0.3">
      <c r="B26" s="64" t="s">
        <v>12</v>
      </c>
      <c r="C26" s="64"/>
      <c r="D26" s="5"/>
      <c r="E26" s="5"/>
    </row>
    <row r="27" spans="2:17" ht="15.6" x14ac:dyDescent="0.35">
      <c r="B27" s="7" t="s">
        <v>76</v>
      </c>
      <c r="C27" s="7" t="s">
        <v>10</v>
      </c>
      <c r="D27" s="27">
        <f>($D$8/(D20+D21+2*D22))*(D21+2*D22)</f>
        <v>0.85165083649735485</v>
      </c>
      <c r="E27" s="27">
        <f>($D$8/(E20+E21+2*E22))*(E21+2*E22)</f>
        <v>0.85995488721804503</v>
      </c>
      <c r="F27" s="52" t="s">
        <v>37</v>
      </c>
    </row>
    <row r="28" spans="2:17" ht="15.6" x14ac:dyDescent="0.35">
      <c r="B28" s="7" t="s">
        <v>76</v>
      </c>
      <c r="C28" s="7" t="s">
        <v>10</v>
      </c>
      <c r="D28" s="27">
        <f>($D$8/(D20+D21+2*D22))*(D21+2*D22)</f>
        <v>0.85165083649735485</v>
      </c>
      <c r="E28" s="27">
        <f>($D$8/(E20+E21+2*E22))*(E21+2*E22)</f>
        <v>0.85995488721804503</v>
      </c>
      <c r="F28" s="52" t="s">
        <v>38</v>
      </c>
    </row>
    <row r="29" spans="2:17" x14ac:dyDescent="0.3">
      <c r="C29" s="5"/>
      <c r="D29" s="5"/>
      <c r="E29" s="5"/>
    </row>
    <row r="30" spans="2:17" x14ac:dyDescent="0.3">
      <c r="B30" s="65" t="s">
        <v>13</v>
      </c>
      <c r="C30" s="65"/>
      <c r="D30" s="5"/>
      <c r="E30" s="5"/>
    </row>
    <row r="31" spans="2:17" ht="15.6" x14ac:dyDescent="0.35">
      <c r="B31" s="7" t="s">
        <v>75</v>
      </c>
      <c r="C31" s="7" t="s">
        <v>10</v>
      </c>
      <c r="D31" s="27">
        <f>$D$11/2</f>
        <v>0.45042701961583076</v>
      </c>
      <c r="E31" s="27">
        <f>$D$11/2</f>
        <v>0.45042701961583076</v>
      </c>
      <c r="F31" s="79" t="s">
        <v>37</v>
      </c>
    </row>
    <row r="32" spans="2:17" ht="15.6" x14ac:dyDescent="0.3">
      <c r="B32" s="31" t="s">
        <v>60</v>
      </c>
      <c r="C32" s="7" t="s">
        <v>18</v>
      </c>
      <c r="D32" s="20">
        <f>2/D31</f>
        <v>4.4402309650646625</v>
      </c>
      <c r="E32" s="20">
        <f>2/E31</f>
        <v>4.4402309650646625</v>
      </c>
      <c r="F32" s="79"/>
      <c r="M32" s="4"/>
      <c r="Q32" s="5"/>
    </row>
    <row r="33" spans="2:17" x14ac:dyDescent="0.3">
      <c r="B33" s="31"/>
      <c r="C33" s="7" t="s">
        <v>19</v>
      </c>
      <c r="D33" s="20">
        <f>20*LOG10(D32)</f>
        <v>12.948111223212425</v>
      </c>
      <c r="E33" s="20">
        <f>20*LOG10(E32)</f>
        <v>12.948111223212425</v>
      </c>
      <c r="F33" s="79"/>
      <c r="M33" s="4"/>
      <c r="Q33" s="5"/>
    </row>
    <row r="34" spans="2:17" ht="6.6" customHeight="1" x14ac:dyDescent="0.3"/>
    <row r="35" spans="2:17" ht="15.6" x14ac:dyDescent="0.35">
      <c r="B35" s="7" t="s">
        <v>75</v>
      </c>
      <c r="C35" s="7" t="s">
        <v>10</v>
      </c>
      <c r="D35" s="27">
        <f>$D$17/2</f>
        <v>0.24359828611876561</v>
      </c>
      <c r="E35" s="27">
        <f>$D$17/2</f>
        <v>0.24359828611876561</v>
      </c>
      <c r="F35" s="79" t="s">
        <v>38</v>
      </c>
    </row>
    <row r="36" spans="2:17" ht="15.6" x14ac:dyDescent="0.3">
      <c r="B36" s="31" t="s">
        <v>60</v>
      </c>
      <c r="C36" s="7" t="s">
        <v>18</v>
      </c>
      <c r="D36" s="20">
        <f>2/D35</f>
        <v>8.2102383882327725</v>
      </c>
      <c r="E36" s="20">
        <f>2/E35</f>
        <v>8.2102383882327725</v>
      </c>
      <c r="F36" s="79"/>
    </row>
    <row r="37" spans="2:17" x14ac:dyDescent="0.3">
      <c r="B37" s="31"/>
      <c r="C37" s="7" t="s">
        <v>19</v>
      </c>
      <c r="D37" s="20">
        <f>20*LOG10(D36)</f>
        <v>18.287115345046544</v>
      </c>
      <c r="E37" s="20">
        <f>20*LOG10(E36)</f>
        <v>18.287115345046544</v>
      </c>
      <c r="F37" s="79"/>
    </row>
  </sheetData>
  <sheetProtection algorithmName="SHA-512" hashValue="qup+VV6No+1KCjgTuaGmeoYASdFfJ0ZW+wgkWUuSpZK72uVpBDf6pPwMQuVBLvOrvUoTetHR46AUys3ngUFlNA==" saltValue="FtbHEMBDD+d46lafTcRGKA==" spinCount="100000" sheet="1" objects="1" scenarios="1" selectLockedCells="1"/>
  <mergeCells count="14">
    <mergeCell ref="K8:M8"/>
    <mergeCell ref="B2:I2"/>
    <mergeCell ref="B30:C30"/>
    <mergeCell ref="F31:F33"/>
    <mergeCell ref="F35:F37"/>
    <mergeCell ref="F20:F22"/>
    <mergeCell ref="G23:G24"/>
    <mergeCell ref="B26:C26"/>
    <mergeCell ref="B9:B10"/>
    <mergeCell ref="C9:C10"/>
    <mergeCell ref="B19:C19"/>
    <mergeCell ref="B15:B16"/>
    <mergeCell ref="C15:C16"/>
    <mergeCell ref="H8:J8"/>
  </mergeCells>
  <pageMargins left="0.7" right="0.7" top="0.78740157499999996" bottom="0.78740157499999996" header="0.3" footer="0.3"/>
  <pageSetup paperSize="9" scale="45" orientation="landscape" r:id="rId1"/>
  <headerFooter>
    <oddHeader>&amp;R&amp;"Myriad Pro,Fett"&amp;12TUBECLINIC
Linz / Austria</oddHeader>
    <oddFooter>&amp;L&amp;"Aptos Narrow,Standard"&amp;16©&amp;11 by Barbara E. Gerhold; TUBECLINIC - Linz/Austria
created 13-06-2025&amp;C&amp;"Aptos Narrow,Standard"page &amp;P of &amp;N
&amp;F&amp;R&amp;"Aptos Narrow,Standard"printed: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Iout</vt:lpstr>
      <vt:lpstr>Uout</vt:lpstr>
      <vt:lpstr>ESS</vt:lpstr>
      <vt:lpstr>ROHM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</dc:creator>
  <cp:lastModifiedBy>Barbara Gerhold</cp:lastModifiedBy>
  <cp:lastPrinted>2025-06-11T15:08:52Z</cp:lastPrinted>
  <dcterms:created xsi:type="dcterms:W3CDTF">2015-06-05T18:19:34Z</dcterms:created>
  <dcterms:modified xsi:type="dcterms:W3CDTF">2026-01-08T11:36:15Z</dcterms:modified>
</cp:coreProperties>
</file>